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 OFFICER\BUDGET\2021-2022 Budget\"/>
    </mc:Choice>
  </mc:AlternateContent>
  <xr:revisionPtr revIDLastSave="0" documentId="13_ncr:1_{8D9D0787-EF7B-4350-A4D3-5F530C14001F}" xr6:coauthVersionLast="47" xr6:coauthVersionMax="47" xr10:uidLastSave="{00000000-0000-0000-0000-000000000000}"/>
  <bookViews>
    <workbookView xWindow="-120" yWindow="-120" windowWidth="24240" windowHeight="13140" xr2:uid="{18D2F14A-291D-455E-9D8B-78CB6A777211}"/>
  </bookViews>
  <sheets>
    <sheet name="Sheet1" sheetId="1" r:id="rId1"/>
  </sheets>
  <definedNames>
    <definedName name="_xlnm.Print_Area" localSheetId="0">Sheet1!$A$1:$S$152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I9" i="1"/>
  <c r="H9" i="1"/>
  <c r="O142" i="1"/>
  <c r="O103" i="1"/>
  <c r="G130" i="1"/>
  <c r="H130" i="1"/>
  <c r="K130" i="1"/>
  <c r="L130" i="1"/>
  <c r="E130" i="1"/>
  <c r="F102" i="1"/>
  <c r="I102" i="1"/>
  <c r="J102" i="1"/>
  <c r="M102" i="1"/>
  <c r="N102" i="1"/>
  <c r="F100" i="1"/>
  <c r="G100" i="1"/>
  <c r="H100" i="1"/>
  <c r="I100" i="1"/>
  <c r="J100" i="1"/>
  <c r="K100" i="1"/>
  <c r="L100" i="1"/>
  <c r="M100" i="1"/>
  <c r="N100" i="1"/>
  <c r="E100" i="1"/>
  <c r="F113" i="1"/>
  <c r="G113" i="1"/>
  <c r="G102" i="1" s="1"/>
  <c r="H113" i="1"/>
  <c r="H102" i="1" s="1"/>
  <c r="I113" i="1"/>
  <c r="J113" i="1"/>
  <c r="K113" i="1"/>
  <c r="K102" i="1" s="1"/>
  <c r="L113" i="1"/>
  <c r="L102" i="1" s="1"/>
  <c r="M113" i="1"/>
  <c r="N113" i="1"/>
  <c r="O78" i="1"/>
  <c r="F78" i="1"/>
  <c r="F130" i="1" s="1"/>
  <c r="G78" i="1"/>
  <c r="H78" i="1"/>
  <c r="I78" i="1"/>
  <c r="I130" i="1" s="1"/>
  <c r="J78" i="1"/>
  <c r="J130" i="1" s="1"/>
  <c r="K78" i="1"/>
  <c r="L78" i="1"/>
  <c r="M78" i="1"/>
  <c r="M130" i="1" s="1"/>
  <c r="N78" i="1"/>
  <c r="N130" i="1" s="1"/>
  <c r="E78" i="1"/>
  <c r="O109" i="1" l="1"/>
  <c r="O110" i="1"/>
  <c r="O111" i="1"/>
  <c r="O112" i="1"/>
  <c r="P68" i="1"/>
  <c r="P61" i="1"/>
  <c r="P56" i="1"/>
  <c r="R32" i="1"/>
  <c r="P41" i="1"/>
  <c r="P70" i="1" s="1"/>
  <c r="P21" i="1"/>
  <c r="P12" i="1"/>
  <c r="P72" i="1" s="1"/>
  <c r="O20" i="1"/>
  <c r="O19" i="1"/>
  <c r="O18" i="1"/>
  <c r="F21" i="1" l="1"/>
  <c r="E21" i="1"/>
  <c r="N21" i="1"/>
  <c r="M21" i="1"/>
  <c r="L21" i="1"/>
  <c r="K21" i="1"/>
  <c r="J21" i="1"/>
  <c r="I16" i="1"/>
  <c r="H21" i="1"/>
  <c r="G21" i="1"/>
  <c r="N146" i="1" l="1"/>
  <c r="N147" i="1" s="1"/>
  <c r="M146" i="1"/>
  <c r="M147" i="1" s="1"/>
  <c r="L146" i="1"/>
  <c r="L147" i="1" s="1"/>
  <c r="K146" i="1"/>
  <c r="K147" i="1" s="1"/>
  <c r="J146" i="1"/>
  <c r="J147" i="1" s="1"/>
  <c r="I146" i="1"/>
  <c r="I147" i="1" s="1"/>
  <c r="H146" i="1"/>
  <c r="H147" i="1" s="1"/>
  <c r="G146" i="1"/>
  <c r="G147" i="1" s="1"/>
  <c r="F146" i="1"/>
  <c r="F147" i="1" s="1"/>
  <c r="E146" i="1"/>
  <c r="E147" i="1" s="1"/>
  <c r="B146" i="1"/>
  <c r="O145" i="1"/>
  <c r="O144" i="1"/>
  <c r="O143" i="1"/>
  <c r="D138" i="1"/>
  <c r="C138" i="1"/>
  <c r="B138" i="1"/>
  <c r="B149" i="1" s="1"/>
  <c r="O137" i="1"/>
  <c r="O136" i="1"/>
  <c r="O135" i="1"/>
  <c r="O134" i="1"/>
  <c r="O133" i="1"/>
  <c r="O132" i="1"/>
  <c r="O131" i="1"/>
  <c r="O128" i="1"/>
  <c r="K125" i="1"/>
  <c r="K129" i="1" s="1"/>
  <c r="K138" i="1" s="1"/>
  <c r="K139" i="1" s="1"/>
  <c r="J125" i="1"/>
  <c r="J129" i="1" s="1"/>
  <c r="J138" i="1" s="1"/>
  <c r="J139" i="1" s="1"/>
  <c r="I125" i="1"/>
  <c r="I129" i="1" s="1"/>
  <c r="H125" i="1"/>
  <c r="H129" i="1" s="1"/>
  <c r="H138" i="1" s="1"/>
  <c r="H139" i="1" s="1"/>
  <c r="G125" i="1"/>
  <c r="G129" i="1" s="1"/>
  <c r="G138" i="1" s="1"/>
  <c r="G139" i="1" s="1"/>
  <c r="F125" i="1"/>
  <c r="O123" i="1"/>
  <c r="O121" i="1"/>
  <c r="O120" i="1"/>
  <c r="O119" i="1"/>
  <c r="O117" i="1"/>
  <c r="N117" i="1"/>
  <c r="M117" i="1"/>
  <c r="L117" i="1"/>
  <c r="K117" i="1"/>
  <c r="J117" i="1"/>
  <c r="I117" i="1"/>
  <c r="H117" i="1"/>
  <c r="G117" i="1"/>
  <c r="F117" i="1"/>
  <c r="E117" i="1"/>
  <c r="E113" i="1"/>
  <c r="E102" i="1" s="1"/>
  <c r="B113" i="1"/>
  <c r="O108" i="1"/>
  <c r="O104" i="1"/>
  <c r="O100" i="1"/>
  <c r="N98" i="1"/>
  <c r="M98" i="1"/>
  <c r="L98" i="1"/>
  <c r="K98" i="1"/>
  <c r="J98" i="1"/>
  <c r="I98" i="1"/>
  <c r="H98" i="1"/>
  <c r="G98" i="1"/>
  <c r="F98" i="1"/>
  <c r="E98" i="1"/>
  <c r="O97" i="1"/>
  <c r="O96" i="1"/>
  <c r="O95" i="1"/>
  <c r="Q98" i="1" s="1"/>
  <c r="R81" i="1"/>
  <c r="N81" i="1"/>
  <c r="M81" i="1"/>
  <c r="L81" i="1"/>
  <c r="K81" i="1"/>
  <c r="J81" i="1"/>
  <c r="I81" i="1"/>
  <c r="H81" i="1"/>
  <c r="G81" i="1"/>
  <c r="F81" i="1"/>
  <c r="E81" i="1"/>
  <c r="O81" i="1"/>
  <c r="B78" i="1"/>
  <c r="B81" i="1" s="1"/>
  <c r="F69" i="1"/>
  <c r="R68" i="1"/>
  <c r="S68" i="1" s="1"/>
  <c r="B68" i="1"/>
  <c r="R67" i="1"/>
  <c r="R66" i="1"/>
  <c r="O66" i="1"/>
  <c r="R65" i="1"/>
  <c r="O65" i="1"/>
  <c r="R64" i="1"/>
  <c r="O64" i="1"/>
  <c r="R63" i="1"/>
  <c r="O63" i="1"/>
  <c r="R61" i="1"/>
  <c r="S61" i="1" s="1"/>
  <c r="N61" i="1"/>
  <c r="M61" i="1"/>
  <c r="L61" i="1"/>
  <c r="K61" i="1"/>
  <c r="J61" i="1"/>
  <c r="I61" i="1"/>
  <c r="H61" i="1"/>
  <c r="G61" i="1"/>
  <c r="F61" i="1"/>
  <c r="E61" i="1"/>
  <c r="B61" i="1"/>
  <c r="R60" i="1"/>
  <c r="O60" i="1"/>
  <c r="R59" i="1"/>
  <c r="O59" i="1"/>
  <c r="R58" i="1"/>
  <c r="O58" i="1"/>
  <c r="R56" i="1"/>
  <c r="S56" i="1" s="1"/>
  <c r="N56" i="1"/>
  <c r="M56" i="1"/>
  <c r="L56" i="1"/>
  <c r="K56" i="1"/>
  <c r="J56" i="1"/>
  <c r="I56" i="1"/>
  <c r="H56" i="1"/>
  <c r="G56" i="1"/>
  <c r="F56" i="1"/>
  <c r="E56" i="1"/>
  <c r="B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5" i="1"/>
  <c r="O45" i="1"/>
  <c r="R44" i="1"/>
  <c r="O44" i="1"/>
  <c r="R41" i="1"/>
  <c r="S41" i="1" s="1"/>
  <c r="N41" i="1"/>
  <c r="M41" i="1"/>
  <c r="L41" i="1"/>
  <c r="K41" i="1"/>
  <c r="J41" i="1"/>
  <c r="I41" i="1"/>
  <c r="H41" i="1"/>
  <c r="G41" i="1"/>
  <c r="F41" i="1"/>
  <c r="F67" i="1" s="1"/>
  <c r="E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3" i="1"/>
  <c r="O33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B23" i="1"/>
  <c r="B41" i="1" s="1"/>
  <c r="B21" i="1"/>
  <c r="R20" i="1"/>
  <c r="R19" i="1"/>
  <c r="R18" i="1"/>
  <c r="R17" i="1"/>
  <c r="O17" i="1"/>
  <c r="R16" i="1"/>
  <c r="O16" i="1"/>
  <c r="R15" i="1"/>
  <c r="O15" i="1"/>
  <c r="R14" i="1"/>
  <c r="O14" i="1"/>
  <c r="F13" i="1"/>
  <c r="N12" i="1"/>
  <c r="N122" i="1" s="1"/>
  <c r="N125" i="1" s="1"/>
  <c r="M12" i="1"/>
  <c r="M122" i="1" s="1"/>
  <c r="M125" i="1" s="1"/>
  <c r="M129" i="1" s="1"/>
  <c r="M138" i="1" s="1"/>
  <c r="M139" i="1" s="1"/>
  <c r="L12" i="1"/>
  <c r="L122" i="1" s="1"/>
  <c r="K12" i="1"/>
  <c r="J12" i="1"/>
  <c r="I12" i="1"/>
  <c r="H12" i="1"/>
  <c r="F12" i="1"/>
  <c r="F72" i="1" s="1"/>
  <c r="E12" i="1"/>
  <c r="E72" i="1" s="1"/>
  <c r="R11" i="1"/>
  <c r="O11" i="1"/>
  <c r="B11" i="1"/>
  <c r="R10" i="1"/>
  <c r="O10" i="1"/>
  <c r="B10" i="1"/>
  <c r="R9" i="1"/>
  <c r="O9" i="1"/>
  <c r="B9" i="1"/>
  <c r="R8" i="1"/>
  <c r="O8" i="1"/>
  <c r="B8" i="1"/>
  <c r="F83" i="1" l="1"/>
  <c r="F101" i="1" s="1"/>
  <c r="N129" i="1"/>
  <c r="N138" i="1" s="1"/>
  <c r="N139" i="1" s="1"/>
  <c r="O125" i="1"/>
  <c r="O146" i="1"/>
  <c r="O147" i="1" s="1"/>
  <c r="O130" i="1"/>
  <c r="O82" i="1"/>
  <c r="P98" i="1"/>
  <c r="O56" i="1"/>
  <c r="E67" i="1"/>
  <c r="B70" i="1"/>
  <c r="O98" i="1"/>
  <c r="F129" i="1"/>
  <c r="F138" i="1" s="1"/>
  <c r="F139" i="1" s="1"/>
  <c r="O41" i="1"/>
  <c r="O22" i="1"/>
  <c r="R22" i="1"/>
  <c r="O102" i="1"/>
  <c r="F105" i="1"/>
  <c r="F149" i="1" s="1"/>
  <c r="F150" i="1" s="1"/>
  <c r="O113" i="1"/>
  <c r="B12" i="1"/>
  <c r="P147" i="1"/>
  <c r="O122" i="1"/>
  <c r="Q125" i="1" s="1"/>
  <c r="L125" i="1"/>
  <c r="L129" i="1" s="1"/>
  <c r="L138" i="1" s="1"/>
  <c r="L139" i="1" s="1"/>
  <c r="E83" i="1"/>
  <c r="O12" i="1"/>
  <c r="E129" i="1"/>
  <c r="O61" i="1"/>
  <c r="O21" i="1"/>
  <c r="R21" i="1" s="1"/>
  <c r="S21" i="1" s="1"/>
  <c r="R12" i="1"/>
  <c r="S12" i="1" s="1"/>
  <c r="I138" i="1" l="1"/>
  <c r="I139" i="1" s="1"/>
  <c r="E101" i="1"/>
  <c r="E105" i="1" s="1"/>
  <c r="B72" i="1"/>
  <c r="B83" i="1" s="1"/>
  <c r="H67" i="1"/>
  <c r="H68" i="1" s="1"/>
  <c r="H70" i="1" s="1"/>
  <c r="H72" i="1" s="1"/>
  <c r="H83" i="1" s="1"/>
  <c r="H101" i="1" s="1"/>
  <c r="H105" i="1" s="1"/>
  <c r="H149" i="1" s="1"/>
  <c r="H150" i="1" s="1"/>
  <c r="M67" i="1"/>
  <c r="M68" i="1" s="1"/>
  <c r="M70" i="1" s="1"/>
  <c r="M72" i="1" s="1"/>
  <c r="M83" i="1" s="1"/>
  <c r="M101" i="1" s="1"/>
  <c r="M105" i="1" s="1"/>
  <c r="M149" i="1" s="1"/>
  <c r="M150" i="1" s="1"/>
  <c r="G67" i="1"/>
  <c r="G68" i="1" s="1"/>
  <c r="G70" i="1" s="1"/>
  <c r="G72" i="1" s="1"/>
  <c r="G83" i="1" s="1"/>
  <c r="G101" i="1" s="1"/>
  <c r="G105" i="1" s="1"/>
  <c r="G149" i="1" s="1"/>
  <c r="G150" i="1" s="1"/>
  <c r="L67" i="1"/>
  <c r="L68" i="1" s="1"/>
  <c r="L70" i="1" s="1"/>
  <c r="L72" i="1" s="1"/>
  <c r="L83" i="1" s="1"/>
  <c r="L101" i="1" s="1"/>
  <c r="L105" i="1" s="1"/>
  <c r="L149" i="1" s="1"/>
  <c r="L150" i="1" s="1"/>
  <c r="K67" i="1"/>
  <c r="K68" i="1" s="1"/>
  <c r="K70" i="1" s="1"/>
  <c r="K72" i="1" s="1"/>
  <c r="K83" i="1" s="1"/>
  <c r="K101" i="1" s="1"/>
  <c r="K105" i="1" s="1"/>
  <c r="K149" i="1" s="1"/>
  <c r="K150" i="1" s="1"/>
  <c r="J67" i="1"/>
  <c r="J68" i="1" s="1"/>
  <c r="J70" i="1" s="1"/>
  <c r="J72" i="1" s="1"/>
  <c r="J83" i="1" s="1"/>
  <c r="J101" i="1" s="1"/>
  <c r="J105" i="1" s="1"/>
  <c r="J149" i="1" s="1"/>
  <c r="J150" i="1" s="1"/>
  <c r="I67" i="1"/>
  <c r="I68" i="1" s="1"/>
  <c r="I70" i="1" s="1"/>
  <c r="I72" i="1" s="1"/>
  <c r="I83" i="1" s="1"/>
  <c r="I101" i="1" s="1"/>
  <c r="N67" i="1"/>
  <c r="N68" i="1" s="1"/>
  <c r="N70" i="1" s="1"/>
  <c r="N72" i="1" s="1"/>
  <c r="N83" i="1" s="1"/>
  <c r="N101" i="1" s="1"/>
  <c r="N105" i="1" s="1"/>
  <c r="N149" i="1" s="1"/>
  <c r="N150" i="1" s="1"/>
  <c r="P125" i="1"/>
  <c r="O129" i="1"/>
  <c r="O138" i="1" s="1"/>
  <c r="E138" i="1"/>
  <c r="E139" i="1" s="1"/>
  <c r="O139" i="1" l="1"/>
  <c r="Q139" i="1"/>
  <c r="O84" i="1"/>
  <c r="O101" i="1"/>
  <c r="I105" i="1"/>
  <c r="I149" i="1" s="1"/>
  <c r="I150" i="1" s="1"/>
  <c r="O67" i="1"/>
  <c r="O68" i="1" s="1"/>
  <c r="O70" i="1"/>
  <c r="R70" i="1" s="1"/>
  <c r="S70" i="1" s="1"/>
  <c r="O73" i="1"/>
  <c r="P139" i="1"/>
  <c r="E149" i="1"/>
  <c r="O105" i="1" l="1"/>
  <c r="O149" i="1" s="1"/>
  <c r="O150" i="1" s="1"/>
  <c r="Q105" i="1"/>
  <c r="O72" i="1"/>
  <c r="R72" i="1" s="1"/>
  <c r="P105" i="1"/>
  <c r="P149" i="1"/>
  <c r="E150" i="1"/>
  <c r="P150" i="1" s="1"/>
  <c r="O83" i="1" l="1"/>
  <c r="R83" i="1"/>
  <c r="S72" i="1"/>
  <c r="E68" i="1"/>
  <c r="F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Quinn</author>
  </authors>
  <commentList>
    <comment ref="L9" authorId="0" shapeId="0" xr:uid="{258D7D66-2FCF-4180-A265-1C4C58B45CC0}">
      <text>
        <r>
          <rPr>
            <b/>
            <sz val="9"/>
            <color indexed="81"/>
            <rFont val="Tahoma"/>
            <charset val="1"/>
          </rPr>
          <t xml:space="preserve">Mike Quinn:
May billing + increase
400,633
Seasonal Reduction
-10,000
</t>
        </r>
      </text>
    </comment>
    <comment ref="E20" authorId="0" shapeId="0" xr:uid="{58EF6D90-091F-47C7-9682-FF3FDFF979E8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Monthly cost 135,900
CERBT 106,000
</t>
        </r>
      </text>
    </comment>
    <comment ref="E35" authorId="0" shapeId="0" xr:uid="{858388FF-534D-40C3-AFE3-8DC74FA45866}">
      <text>
        <r>
          <rPr>
            <b/>
            <sz val="9"/>
            <color indexed="81"/>
            <rFont val="Tahoma"/>
            <family val="2"/>
          </rPr>
          <t>Mike Quinn:</t>
        </r>
        <r>
          <rPr>
            <sz val="9"/>
            <color indexed="81"/>
            <rFont val="Tahoma"/>
            <family val="2"/>
          </rPr>
          <t xml:space="preserve">
2020 Audit 25,000
2021 Audit 25,000
Actuarial 6,670
</t>
        </r>
      </text>
    </comment>
    <comment ref="L36" authorId="0" shapeId="0" xr:uid="{05AFFA23-E34E-4D07-8D30-2DC4E520C122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KRM 500
</t>
        </r>
      </text>
    </comment>
    <comment ref="M36" authorId="0" shapeId="0" xr:uid="{5C1376E6-18F2-4D41-8C5C-4AB97986EAE3}">
      <text>
        <r>
          <rPr>
            <b/>
            <sz val="9"/>
            <color indexed="81"/>
            <rFont val="Tahoma"/>
            <family val="2"/>
          </rPr>
          <t>Mike Quinn:</t>
        </r>
        <r>
          <rPr>
            <sz val="9"/>
            <color indexed="81"/>
            <rFont val="Tahoma"/>
            <family val="2"/>
          </rPr>
          <t xml:space="preserve">
Lawrence &amp; Assoc 18,000
</t>
        </r>
      </text>
    </comment>
    <comment ref="N36" authorId="0" shapeId="0" xr:uid="{EC3037D9-BDF0-41FC-AC3E-E807019A3F56}">
      <text>
        <r>
          <rPr>
            <b/>
            <sz val="9"/>
            <color indexed="81"/>
            <rFont val="Tahoma"/>
            <family val="2"/>
          </rPr>
          <t>Mike Quinn:</t>
        </r>
        <r>
          <rPr>
            <sz val="9"/>
            <color indexed="81"/>
            <rFont val="Tahoma"/>
            <family val="2"/>
          </rPr>
          <t xml:space="preserve">
Basic Labs
</t>
        </r>
      </text>
    </comment>
    <comment ref="E38" authorId="0" shapeId="0" xr:uid="{F058BC42-E8F7-4531-865C-94FC8CFFECF3}">
      <text>
        <r>
          <rPr>
            <b/>
            <sz val="9"/>
            <color indexed="81"/>
            <rFont val="Tahoma"/>
            <family val="2"/>
          </rPr>
          <t>Mike Quinn:</t>
        </r>
        <r>
          <rPr>
            <sz val="9"/>
            <color indexed="81"/>
            <rFont val="Tahoma"/>
            <family val="2"/>
          </rPr>
          <t xml:space="preserve">
Mt Shasta IT 10,600
BMS  7600
</t>
        </r>
      </text>
    </comment>
    <comment ref="M58" authorId="0" shapeId="0" xr:uid="{0F487811-FBF7-4A24-8ED8-B2C5159DF46D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SWRCB  50369
SVB 17000
</t>
        </r>
      </text>
    </comment>
    <comment ref="M59" authorId="0" shapeId="0" xr:uid="{73ED1061-1C03-40C4-9E39-A26D3E18233A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SWRCB  1,605
SRB  26,573
</t>
        </r>
      </text>
    </comment>
    <comment ref="M60" authorId="0" shapeId="0" xr:uid="{B5FB84E0-BD22-4C16-B09C-7A586129CB46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SWRBC 1003
</t>
        </r>
      </text>
    </comment>
    <comment ref="L63" authorId="0" shapeId="0" xr:uid="{FDA65D66-F890-41E2-91C2-79BFD19441CB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2020  45,000
2021 +7.5% county and
dump fee increase
</t>
        </r>
      </text>
    </comment>
    <comment ref="M63" authorId="0" shapeId="0" xr:uid="{84236A3D-1E45-4133-A498-5D0E525F1315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SWRCB
</t>
        </r>
      </text>
    </comment>
    <comment ref="N63" authorId="0" shapeId="0" xr:uid="{FA9BA6A7-14BD-4347-86E8-40D90F8423F6}">
      <text>
        <r>
          <rPr>
            <b/>
            <sz val="9"/>
            <color indexed="81"/>
            <rFont val="Tahoma"/>
            <charset val="1"/>
          </rPr>
          <t>Mike Quinn:</t>
        </r>
        <r>
          <rPr>
            <sz val="9"/>
            <color indexed="81"/>
            <rFont val="Tahoma"/>
            <charset val="1"/>
          </rPr>
          <t xml:space="preserve">
SWRBC
AWWA</t>
        </r>
      </text>
    </comment>
  </commentList>
</comments>
</file>

<file path=xl/sharedStrings.xml><?xml version="1.0" encoding="utf-8"?>
<sst xmlns="http://schemas.openxmlformats.org/spreadsheetml/2006/main" count="230" uniqueCount="160">
  <si>
    <r>
      <t>M</t>
    </r>
    <r>
      <rPr>
        <b/>
        <sz val="16"/>
        <color theme="1"/>
        <rFont val="Times New Roman"/>
        <family val="1"/>
      </rPr>
      <t xml:space="preserve">cCloud </t>
    </r>
    <r>
      <rPr>
        <b/>
        <sz val="18"/>
        <color theme="1"/>
        <rFont val="Times New Roman"/>
        <family val="1"/>
      </rPr>
      <t>C</t>
    </r>
    <r>
      <rPr>
        <b/>
        <sz val="16"/>
        <color theme="1"/>
        <rFont val="Times New Roman"/>
        <family val="1"/>
      </rPr>
      <t xml:space="preserve">ommunity </t>
    </r>
    <r>
      <rPr>
        <b/>
        <sz val="18"/>
        <color theme="1"/>
        <rFont val="Times New Roman"/>
        <family val="1"/>
      </rPr>
      <t>S</t>
    </r>
    <r>
      <rPr>
        <b/>
        <sz val="16"/>
        <color theme="1"/>
        <rFont val="Times New Roman"/>
        <family val="1"/>
      </rPr>
      <t xml:space="preserve">ervices </t>
    </r>
    <r>
      <rPr>
        <b/>
        <sz val="18"/>
        <color theme="1"/>
        <rFont val="Times New Roman"/>
        <family val="1"/>
      </rPr>
      <t>D</t>
    </r>
    <r>
      <rPr>
        <b/>
        <sz val="16"/>
        <color theme="1"/>
        <rFont val="Times New Roman"/>
        <family val="1"/>
      </rPr>
      <t>istrict</t>
    </r>
  </si>
  <si>
    <t>2020/21</t>
  </si>
  <si>
    <t>$</t>
  </si>
  <si>
    <t>%</t>
  </si>
  <si>
    <t>Total</t>
  </si>
  <si>
    <t>General</t>
  </si>
  <si>
    <t>Directors</t>
  </si>
  <si>
    <t>Fire</t>
  </si>
  <si>
    <t>Alleys</t>
  </si>
  <si>
    <t>Lights</t>
  </si>
  <si>
    <t>Park</t>
  </si>
  <si>
    <t>Library</t>
  </si>
  <si>
    <t>Refuse</t>
  </si>
  <si>
    <t xml:space="preserve">Sewer </t>
  </si>
  <si>
    <t>Water</t>
  </si>
  <si>
    <t>Budget</t>
  </si>
  <si>
    <t>Actual</t>
  </si>
  <si>
    <t>Difference</t>
  </si>
  <si>
    <t>Chng</t>
  </si>
  <si>
    <t>Revenue:</t>
  </si>
  <si>
    <t>Tax Revenue</t>
  </si>
  <si>
    <t>x</t>
  </si>
  <si>
    <t>Utility Fees</t>
  </si>
  <si>
    <t>usfs refuse</t>
  </si>
  <si>
    <t>Ambulance</t>
  </si>
  <si>
    <t>flsa $81k,fire 87k,mis33k</t>
  </si>
  <si>
    <t>TOTAL REVENUE</t>
  </si>
  <si>
    <t>Expenses:</t>
  </si>
  <si>
    <t>Salaries</t>
  </si>
  <si>
    <t>Fsla  $79,000</t>
  </si>
  <si>
    <t xml:space="preserve"> </t>
  </si>
  <si>
    <t>PERS</t>
  </si>
  <si>
    <t>Payroll Taxes</t>
  </si>
  <si>
    <t>Employee Hlth Benefits</t>
  </si>
  <si>
    <r>
      <t xml:space="preserve">Workers Comp </t>
    </r>
    <r>
      <rPr>
        <sz val="6"/>
        <color theme="1"/>
        <rFont val="Calibri"/>
        <family val="2"/>
        <scheme val="minor"/>
      </rPr>
      <t xml:space="preserve"> (32893)</t>
    </r>
  </si>
  <si>
    <t>Retiree Benefits Retirement</t>
  </si>
  <si>
    <t>Retiree Benefits Health</t>
  </si>
  <si>
    <t xml:space="preserve">  Total Employee Costs</t>
  </si>
  <si>
    <t>Insurance</t>
  </si>
  <si>
    <t>Telephone</t>
  </si>
  <si>
    <t>Publications</t>
  </si>
  <si>
    <t>Travel</t>
  </si>
  <si>
    <t>2990 FSLA</t>
  </si>
  <si>
    <t>Hiring</t>
  </si>
  <si>
    <t>Training</t>
  </si>
  <si>
    <t>confined space</t>
  </si>
  <si>
    <t>Uniforms</t>
  </si>
  <si>
    <t>Safety</t>
  </si>
  <si>
    <t>Memberships</t>
  </si>
  <si>
    <t>CSDA</t>
  </si>
  <si>
    <t>Operating Lease</t>
  </si>
  <si>
    <t>Attorney</t>
  </si>
  <si>
    <t>Live Scan, black mt</t>
  </si>
  <si>
    <t>Prof Svc-Ambulance</t>
  </si>
  <si>
    <t>Wittman</t>
  </si>
  <si>
    <t>MSIT, enplan,adobe</t>
  </si>
  <si>
    <t>Advertising</t>
  </si>
  <si>
    <t>SR, office</t>
  </si>
  <si>
    <t>Election Expense</t>
  </si>
  <si>
    <t xml:space="preserve">   Total Other Costs</t>
  </si>
  <si>
    <t>TOTAL</t>
  </si>
  <si>
    <t>Office Supplies</t>
  </si>
  <si>
    <t>Postage &amp; Delivery</t>
  </si>
  <si>
    <t>Janitorial Supplies</t>
  </si>
  <si>
    <t>Diesel</t>
  </si>
  <si>
    <t>Fuel</t>
  </si>
  <si>
    <t>Heating Fuel</t>
  </si>
  <si>
    <t>Power</t>
  </si>
  <si>
    <t>Vehicle Maint.</t>
  </si>
  <si>
    <t xml:space="preserve">   Total Supplies, Maintenance</t>
  </si>
  <si>
    <t>Principal Payments</t>
  </si>
  <si>
    <t>Interest Payments</t>
  </si>
  <si>
    <t>Administrative Fees</t>
  </si>
  <si>
    <t xml:space="preserve">   Total Debt Service</t>
  </si>
  <si>
    <t>Bank fees, ore-cal</t>
  </si>
  <si>
    <t>Director's Fees</t>
  </si>
  <si>
    <t>Property Tax</t>
  </si>
  <si>
    <t xml:space="preserve">Fund Allocation of General/Director Costs </t>
  </si>
  <si>
    <t xml:space="preserve">   Total Miscellaneous Costs</t>
  </si>
  <si>
    <t>TOTAL OPERATING EXPENSES</t>
  </si>
  <si>
    <t>OVER/UNDER FROM OPERATIONS</t>
  </si>
  <si>
    <t>Non Operating Revenue/Expense:</t>
  </si>
  <si>
    <t>Interest Expense</t>
  </si>
  <si>
    <t>Total Non Operating Revenue/Expense</t>
  </si>
  <si>
    <t>NET INCOME/(LOSS) FROM OPERATIONS</t>
  </si>
  <si>
    <t>Footnotes                           fn1</t>
  </si>
  <si>
    <t>fn2</t>
  </si>
  <si>
    <t>fn3</t>
  </si>
  <si>
    <t>i</t>
  </si>
  <si>
    <t>fn4</t>
  </si>
  <si>
    <t>fn5</t>
  </si>
  <si>
    <t>fn6</t>
  </si>
  <si>
    <t>fn7</t>
  </si>
  <si>
    <t>fn8</t>
  </si>
  <si>
    <t>CAPITAL OUTLAYS</t>
  </si>
  <si>
    <t>RESERVE ASSIGNMENTS</t>
  </si>
  <si>
    <t>Sewer Upgrades- Bio-solid Plan       Operating</t>
  </si>
  <si>
    <t>TOTAL CAPITAL OUTLAYS</t>
  </si>
  <si>
    <t>GAIN/LOSS SALE OF ASSETS</t>
  </si>
  <si>
    <t xml:space="preserve">Book Value </t>
  </si>
  <si>
    <t>Sale Price</t>
  </si>
  <si>
    <t>NET GAIN/LOSS SALE OF ASSETS</t>
  </si>
  <si>
    <t>RESERVE ASSIGNMENT</t>
  </si>
  <si>
    <t>Restricted  (By Contract)</t>
  </si>
  <si>
    <t>Committed  (Board Approved Allocations)</t>
  </si>
  <si>
    <t>Committed (Rate Study Annual Reserve)</t>
  </si>
  <si>
    <t>Assigned  (Operating Reserves) 5 year plan</t>
  </si>
  <si>
    <t>Assigned  (Capital Reserves) 5 year plan</t>
  </si>
  <si>
    <t>Unassigned  (after all commitments met)</t>
  </si>
  <si>
    <t>TOTAL RESERVE ASSIGNMENTS</t>
  </si>
  <si>
    <t>LAIF ACTIVITY</t>
  </si>
  <si>
    <t>Reserve Assignments</t>
  </si>
  <si>
    <t>Interest</t>
  </si>
  <si>
    <t>Withdrawal CERBT</t>
  </si>
  <si>
    <t>NET LAIF ACTIVITY</t>
  </si>
  <si>
    <t>CERBT ACTIVITY</t>
  </si>
  <si>
    <t>Beginning Balance</t>
  </si>
  <si>
    <t>Deposits</t>
  </si>
  <si>
    <t xml:space="preserve">Earnings </t>
  </si>
  <si>
    <t>Withdrawals</t>
  </si>
  <si>
    <t>NET CERBT ACTIVITY</t>
  </si>
  <si>
    <t>2021/22</t>
  </si>
  <si>
    <r>
      <t xml:space="preserve">Accountant                </t>
    </r>
    <r>
      <rPr>
        <sz val="11"/>
        <color rgb="FFFF0000"/>
        <rFont val="Calibri"/>
        <family val="2"/>
        <scheme val="minor"/>
      </rPr>
      <t xml:space="preserve">                                                 </t>
    </r>
  </si>
  <si>
    <t xml:space="preserve">Supplies                                                                    </t>
  </si>
  <si>
    <t xml:space="preserve">Computer &amp; IT Supplies                              </t>
  </si>
  <si>
    <t>1579x1.02</t>
  </si>
  <si>
    <t>Interest Income   .3%</t>
  </si>
  <si>
    <t>IT Services</t>
  </si>
  <si>
    <t>Volunteer Reimbursements</t>
  </si>
  <si>
    <t>Dumpsters</t>
  </si>
  <si>
    <t>Water Tank Drainage Project</t>
  </si>
  <si>
    <t>Office Roof</t>
  </si>
  <si>
    <t>EKG, Extractor</t>
  </si>
  <si>
    <t>Digital Line Locator 70% Water $3360, 30% Sewer $1,440  Equipment Maint</t>
  </si>
  <si>
    <t>BALANCE TRANSFERS</t>
  </si>
  <si>
    <t>Fire Misc includes $30k ZIB, $39,500 ECG, and 10,000 misc donations</t>
  </si>
  <si>
    <r>
      <t xml:space="preserve">Equip Maintenance                                                   </t>
    </r>
    <r>
      <rPr>
        <sz val="11"/>
        <color rgb="FFFF0000"/>
        <rFont val="Calibri"/>
        <family val="2"/>
        <scheme val="minor"/>
      </rPr>
      <t>fn3</t>
    </r>
  </si>
  <si>
    <r>
      <t xml:space="preserve">Building/Grounds (parking lot, paint)               </t>
    </r>
    <r>
      <rPr>
        <sz val="11"/>
        <color rgb="FFFF0000"/>
        <rFont val="Calibri"/>
        <family val="2"/>
        <scheme val="minor"/>
      </rPr>
      <t>fn2</t>
    </r>
  </si>
  <si>
    <r>
      <t xml:space="preserve">Fees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fn5</t>
    </r>
  </si>
  <si>
    <r>
      <t xml:space="preserve">Professional Services                                               </t>
    </r>
    <r>
      <rPr>
        <sz val="11"/>
        <color rgb="FFFF0000"/>
        <rFont val="Calibri"/>
        <family val="2"/>
        <scheme val="minor"/>
      </rPr>
      <t>fn4</t>
    </r>
  </si>
  <si>
    <r>
      <t xml:space="preserve">Donations, Misc                                                           </t>
    </r>
    <r>
      <rPr>
        <sz val="11"/>
        <color rgb="FFFF0000"/>
        <rFont val="Calibri"/>
        <family val="2"/>
        <scheme val="minor"/>
      </rPr>
      <t>fn1</t>
    </r>
  </si>
  <si>
    <t>NET CASH CHANGE IN POSITION</t>
  </si>
  <si>
    <t xml:space="preserve">Professional Serv.  Fire: Ambulance, EMT licenses $600. Ladder and Hose Inspections $3000,  Refuse  KRM $500,   Sewer Lawrence &amp; Assoc $18,000,  Water Basic Labs $4,500  </t>
  </si>
  <si>
    <r>
      <t xml:space="preserve">Permits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fn6</t>
    </r>
  </si>
  <si>
    <t>Permits  General Hazmat  $400</t>
  </si>
  <si>
    <t>Fees  General: Bank Fees $1400  Fire Dept:  Dept of Health fees $2400, Backdraft fees $750,  Refuse:  $48,375 Dump fees</t>
  </si>
  <si>
    <t xml:space="preserve">Sewer:  SWRCB permits $17,000  Water: permits  AWWA $800, SWRCB $4600   </t>
  </si>
  <si>
    <t>Monitor heater for Office Building.  $3200</t>
  </si>
  <si>
    <t>Revised Proposed Budget 2021/2022</t>
  </si>
  <si>
    <t>CASH, CAPITAL AND RESERVE BUDGET 2021/2022</t>
  </si>
  <si>
    <t>EST LAIF BALANCE 6-30-2021</t>
  </si>
  <si>
    <t>EST OPERATING BALANCE 6-30-2021</t>
  </si>
  <si>
    <t>EST CERBT BALANCE 6-30-2021</t>
  </si>
  <si>
    <t>BEGINNING CASH BALANCE 7-1-2021</t>
  </si>
  <si>
    <t>OPERATING BALANCE 7-1-2021</t>
  </si>
  <si>
    <t>Projected Operating Cash Balance 6-30-22</t>
  </si>
  <si>
    <t>Beginning Balance 7-1-2021</t>
  </si>
  <si>
    <t>PROJECTED LAIF BALANCE 6-30-2022</t>
  </si>
  <si>
    <t>PROJECTED CERBT BALANCE 6-30-2022</t>
  </si>
  <si>
    <t>NET CASH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</si>
</sst>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_([$$-409]* #,##0.00_);_([$$-409]* \(#,##0.00\);_([$$-409]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i/>
      <sz val="11"/>
      <color theme="1" tint="0.34998626667073579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8"/>
      <color theme="1" tint="0.34998626667073579"/>
      <name val="Times New Roman"/>
      <family val="1"/>
    </font>
    <font>
      <sz val="10"/>
      <color theme="1"/>
      <name val="Times New Roman"/>
      <family val="1"/>
    </font>
    <font>
      <b/>
      <i/>
      <u/>
      <sz val="16"/>
      <color theme="1" tint="0.34998626667073579"/>
      <name val="Times New Roman"/>
      <family val="1"/>
    </font>
    <font>
      <b/>
      <u/>
      <sz val="16"/>
      <color theme="1"/>
      <name val="Times New Roman"/>
      <family val="1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164" fontId="5" fillId="0" borderId="2" xfId="2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7" fillId="0" borderId="0" xfId="2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0" xfId="2" applyNumberFormat="1" applyFont="1"/>
    <xf numFmtId="0" fontId="8" fillId="0" borderId="5" xfId="0" applyFont="1" applyBorder="1" applyAlignment="1">
      <alignment horizontal="center" vertical="center"/>
    </xf>
    <xf numFmtId="164" fontId="9" fillId="0" borderId="0" xfId="2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11" fillId="0" borderId="8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11" fillId="0" borderId="11" xfId="2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12" fillId="0" borderId="15" xfId="0" applyFont="1" applyBorder="1"/>
    <xf numFmtId="164" fontId="12" fillId="4" borderId="15" xfId="2" applyNumberFormat="1" applyFont="1" applyFill="1" applyBorder="1"/>
    <xf numFmtId="164" fontId="12" fillId="4" borderId="15" xfId="2" applyNumberFormat="1" applyFont="1" applyFill="1" applyBorder="1" applyAlignment="1">
      <alignment horizontal="center"/>
    </xf>
    <xf numFmtId="164" fontId="12" fillId="5" borderId="15" xfId="2" applyNumberFormat="1" applyFont="1" applyFill="1" applyBorder="1"/>
    <xf numFmtId="164" fontId="12" fillId="3" borderId="15" xfId="2" applyNumberFormat="1" applyFont="1" applyFill="1" applyBorder="1"/>
    <xf numFmtId="164" fontId="13" fillId="0" borderId="16" xfId="2" applyNumberFormat="1" applyFont="1" applyBorder="1"/>
    <xf numFmtId="0" fontId="3" fillId="6" borderId="15" xfId="0" applyFont="1" applyFill="1" applyBorder="1" applyAlignment="1">
      <alignment horizontal="center"/>
    </xf>
    <xf numFmtId="164" fontId="3" fillId="6" borderId="15" xfId="2" applyNumberFormat="1" applyFont="1" applyFill="1" applyBorder="1"/>
    <xf numFmtId="164" fontId="3" fillId="6" borderId="15" xfId="2" applyNumberFormat="1" applyFont="1" applyFill="1" applyBorder="1" applyAlignment="1">
      <alignment horizontal="center"/>
    </xf>
    <xf numFmtId="164" fontId="3" fillId="3" borderId="15" xfId="2" applyNumberFormat="1" applyFont="1" applyFill="1" applyBorder="1"/>
    <xf numFmtId="165" fontId="0" fillId="6" borderId="15" xfId="0" applyNumberForma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7" xfId="2" applyNumberFormat="1" applyFont="1" applyBorder="1"/>
    <xf numFmtId="164" fontId="0" fillId="0" borderId="17" xfId="2" applyNumberFormat="1" applyFont="1" applyBorder="1" applyAlignment="1">
      <alignment horizontal="center"/>
    </xf>
    <xf numFmtId="164" fontId="1" fillId="0" borderId="17" xfId="2" applyNumberFormat="1" applyFont="1" applyBorder="1"/>
    <xf numFmtId="166" fontId="14" fillId="0" borderId="14" xfId="1" applyNumberFormat="1" applyFont="1" applyBorder="1"/>
    <xf numFmtId="164" fontId="13" fillId="0" borderId="17" xfId="2" applyNumberFormat="1" applyFont="1" applyBorder="1"/>
    <xf numFmtId="0" fontId="0" fillId="0" borderId="17" xfId="0" applyBorder="1"/>
    <xf numFmtId="0" fontId="0" fillId="0" borderId="18" xfId="0" applyBorder="1"/>
    <xf numFmtId="164" fontId="0" fillId="4" borderId="16" xfId="2" applyNumberFormat="1" applyFont="1" applyFill="1" applyBorder="1"/>
    <xf numFmtId="164" fontId="0" fillId="4" borderId="16" xfId="2" applyNumberFormat="1" applyFont="1" applyFill="1" applyBorder="1" applyAlignment="1">
      <alignment horizontal="center"/>
    </xf>
    <xf numFmtId="164" fontId="0" fillId="8" borderId="16" xfId="2" applyNumberFormat="1" applyFont="1" applyFill="1" applyBorder="1"/>
    <xf numFmtId="164" fontId="0" fillId="3" borderId="16" xfId="2" applyNumberFormat="1" applyFont="1" applyFill="1" applyBorder="1"/>
    <xf numFmtId="0" fontId="0" fillId="0" borderId="19" xfId="0" applyBorder="1"/>
    <xf numFmtId="0" fontId="0" fillId="0" borderId="20" xfId="0" applyBorder="1"/>
    <xf numFmtId="164" fontId="0" fillId="4" borderId="15" xfId="2" applyNumberFormat="1" applyFont="1" applyFill="1" applyBorder="1"/>
    <xf numFmtId="164" fontId="0" fillId="4" borderId="15" xfId="2" applyNumberFormat="1" applyFont="1" applyFill="1" applyBorder="1" applyAlignment="1">
      <alignment horizontal="center"/>
    </xf>
    <xf numFmtId="164" fontId="0" fillId="8" borderId="15" xfId="2" applyNumberFormat="1" applyFont="1" applyFill="1" applyBorder="1"/>
    <xf numFmtId="164" fontId="0" fillId="3" borderId="15" xfId="2" applyNumberFormat="1" applyFont="1" applyFill="1" applyBorder="1"/>
    <xf numFmtId="0" fontId="0" fillId="0" borderId="21" xfId="0" applyBorder="1"/>
    <xf numFmtId="164" fontId="0" fillId="5" borderId="15" xfId="2" applyNumberFormat="1" applyFont="1" applyFill="1" applyBorder="1"/>
    <xf numFmtId="164" fontId="0" fillId="0" borderId="15" xfId="2" applyNumberFormat="1" applyFont="1" applyBorder="1"/>
    <xf numFmtId="164" fontId="3" fillId="3" borderId="23" xfId="2" applyNumberFormat="1" applyFont="1" applyFill="1" applyBorder="1"/>
    <xf numFmtId="164" fontId="13" fillId="0" borderId="23" xfId="2" applyNumberFormat="1" applyFont="1" applyBorder="1"/>
    <xf numFmtId="165" fontId="0" fillId="6" borderId="24" xfId="0" applyNumberFormat="1" applyFill="1" applyBorder="1" applyAlignment="1">
      <alignment horizontal="center"/>
    </xf>
    <xf numFmtId="0" fontId="0" fillId="0" borderId="25" xfId="0" applyBorder="1"/>
    <xf numFmtId="164" fontId="3" fillId="7" borderId="25" xfId="2" applyNumberFormat="1" applyFont="1" applyFill="1" applyBorder="1"/>
    <xf numFmtId="164" fontId="3" fillId="7" borderId="25" xfId="2" applyNumberFormat="1" applyFont="1" applyFill="1" applyBorder="1" applyAlignment="1">
      <alignment horizontal="center"/>
    </xf>
    <xf numFmtId="164" fontId="3" fillId="0" borderId="25" xfId="2" applyNumberFormat="1" applyFont="1" applyBorder="1"/>
    <xf numFmtId="164" fontId="0" fillId="0" borderId="25" xfId="2" applyNumberFormat="1" applyFont="1" applyBorder="1"/>
    <xf numFmtId="164" fontId="13" fillId="0" borderId="25" xfId="2" applyNumberFormat="1" applyFont="1" applyBorder="1"/>
    <xf numFmtId="164" fontId="0" fillId="0" borderId="21" xfId="0" applyNumberFormat="1" applyBorder="1"/>
    <xf numFmtId="0" fontId="3" fillId="0" borderId="16" xfId="0" applyFont="1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3" fillId="0" borderId="23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11" fillId="0" borderId="23" xfId="2" applyNumberFormat="1" applyFont="1" applyBorder="1" applyAlignment="1">
      <alignment horizontal="center" vertical="center"/>
    </xf>
    <xf numFmtId="0" fontId="3" fillId="0" borderId="24" xfId="0" applyFont="1" applyBorder="1"/>
    <xf numFmtId="164" fontId="0" fillId="0" borderId="16" xfId="2" applyNumberFormat="1" applyFont="1" applyBorder="1"/>
    <xf numFmtId="164" fontId="0" fillId="7" borderId="16" xfId="2" applyNumberFormat="1" applyFont="1" applyFill="1" applyBorder="1"/>
    <xf numFmtId="0" fontId="3" fillId="0" borderId="19" xfId="0" applyFont="1" applyBorder="1"/>
    <xf numFmtId="164" fontId="0" fillId="7" borderId="15" xfId="2" applyNumberFormat="1" applyFont="1" applyFill="1" applyBorder="1"/>
    <xf numFmtId="0" fontId="17" fillId="0" borderId="25" xfId="0" applyFont="1" applyBorder="1"/>
    <xf numFmtId="164" fontId="17" fillId="0" borderId="25" xfId="2" applyNumberFormat="1" applyFont="1" applyBorder="1"/>
    <xf numFmtId="164" fontId="17" fillId="0" borderId="25" xfId="2" applyNumberFormat="1" applyFont="1" applyBorder="1" applyAlignment="1">
      <alignment horizontal="center"/>
    </xf>
    <xf numFmtId="164" fontId="18" fillId="0" borderId="25" xfId="2" applyNumberFormat="1" applyFont="1" applyBorder="1"/>
    <xf numFmtId="0" fontId="3" fillId="0" borderId="25" xfId="0" applyFont="1" applyBorder="1"/>
    <xf numFmtId="164" fontId="19" fillId="0" borderId="25" xfId="2" applyNumberFormat="1" applyFont="1" applyBorder="1"/>
    <xf numFmtId="164" fontId="0" fillId="5" borderId="16" xfId="2" applyNumberFormat="1" applyFont="1" applyFill="1" applyBorder="1"/>
    <xf numFmtId="164" fontId="0" fillId="5" borderId="16" xfId="2" applyNumberFormat="1" applyFont="1" applyFill="1" applyBorder="1" applyAlignment="1">
      <alignment horizontal="center"/>
    </xf>
    <xf numFmtId="0" fontId="0" fillId="0" borderId="26" xfId="0" applyBorder="1"/>
    <xf numFmtId="164" fontId="0" fillId="5" borderId="14" xfId="2" applyNumberFormat="1" applyFont="1" applyFill="1" applyBorder="1"/>
    <xf numFmtId="164" fontId="0" fillId="5" borderId="14" xfId="2" applyNumberFormat="1" applyFont="1" applyFill="1" applyBorder="1" applyAlignment="1">
      <alignment horizontal="center"/>
    </xf>
    <xf numFmtId="44" fontId="0" fillId="4" borderId="14" xfId="2" applyFont="1" applyFill="1" applyBorder="1"/>
    <xf numFmtId="164" fontId="0" fillId="0" borderId="14" xfId="2" applyNumberFormat="1" applyFont="1" applyBorder="1"/>
    <xf numFmtId="164" fontId="0" fillId="3" borderId="14" xfId="2" applyNumberFormat="1" applyFont="1" applyFill="1" applyBorder="1"/>
    <xf numFmtId="0" fontId="0" fillId="0" borderId="27" xfId="0" applyBorder="1"/>
    <xf numFmtId="164" fontId="0" fillId="5" borderId="15" xfId="2" applyNumberFormat="1" applyFont="1" applyFill="1" applyBorder="1" applyAlignment="1">
      <alignment horizontal="center"/>
    </xf>
    <xf numFmtId="164" fontId="3" fillId="3" borderId="12" xfId="2" applyNumberFormat="1" applyFont="1" applyFill="1" applyBorder="1"/>
    <xf numFmtId="164" fontId="13" fillId="0" borderId="28" xfId="2" applyNumberFormat="1" applyFont="1" applyBorder="1"/>
    <xf numFmtId="165" fontId="0" fillId="6" borderId="29" xfId="0" applyNumberFormat="1" applyFill="1" applyBorder="1" applyAlignment="1">
      <alignment horizontal="center"/>
    </xf>
    <xf numFmtId="0" fontId="17" fillId="0" borderId="14" xfId="0" applyFont="1" applyBorder="1"/>
    <xf numFmtId="164" fontId="17" fillId="0" borderId="14" xfId="2" applyNumberFormat="1" applyFont="1" applyBorder="1"/>
    <xf numFmtId="164" fontId="17" fillId="0" borderId="14" xfId="2" applyNumberFormat="1" applyFont="1" applyBorder="1" applyAlignment="1">
      <alignment horizontal="center"/>
    </xf>
    <xf numFmtId="164" fontId="19" fillId="0" borderId="14" xfId="2" applyNumberFormat="1" applyFont="1" applyBorder="1"/>
    <xf numFmtId="0" fontId="0" fillId="0" borderId="14" xfId="0" applyBorder="1"/>
    <xf numFmtId="0" fontId="20" fillId="6" borderId="25" xfId="0" applyFont="1" applyFill="1" applyBorder="1" applyAlignment="1">
      <alignment horizontal="center"/>
    </xf>
    <xf numFmtId="164" fontId="21" fillId="6" borderId="25" xfId="2" applyNumberFormat="1" applyFont="1" applyFill="1" applyBorder="1"/>
    <xf numFmtId="164" fontId="21" fillId="6" borderId="25" xfId="2" applyNumberFormat="1" applyFont="1" applyFill="1" applyBorder="1" applyAlignment="1">
      <alignment horizontal="center"/>
    </xf>
    <xf numFmtId="165" fontId="21" fillId="6" borderId="25" xfId="0" applyNumberFormat="1" applyFont="1" applyFill="1" applyBorder="1" applyAlignment="1">
      <alignment horizontal="center"/>
    </xf>
    <xf numFmtId="0" fontId="17" fillId="0" borderId="15" xfId="0" applyFont="1" applyBorder="1"/>
    <xf numFmtId="164" fontId="14" fillId="0" borderId="15" xfId="2" applyNumberFormat="1" applyFont="1" applyBorder="1"/>
    <xf numFmtId="164" fontId="14" fillId="0" borderId="15" xfId="2" applyNumberFormat="1" applyFont="1" applyBorder="1" applyAlignment="1">
      <alignment horizontal="center"/>
    </xf>
    <xf numFmtId="164" fontId="22" fillId="0" borderId="15" xfId="2" applyNumberFormat="1" applyFont="1" applyBorder="1"/>
    <xf numFmtId="164" fontId="19" fillId="0" borderId="15" xfId="2" applyNumberFormat="1" applyFont="1" applyBorder="1"/>
    <xf numFmtId="0" fontId="0" fillId="0" borderId="15" xfId="0" applyBorder="1"/>
    <xf numFmtId="164" fontId="20" fillId="6" borderId="25" xfId="2" applyNumberFormat="1" applyFont="1" applyFill="1" applyBorder="1"/>
    <xf numFmtId="164" fontId="20" fillId="6" borderId="25" xfId="2" applyNumberFormat="1" applyFont="1" applyFill="1" applyBorder="1" applyAlignment="1">
      <alignment horizontal="center"/>
    </xf>
    <xf numFmtId="164" fontId="13" fillId="6" borderId="25" xfId="2" applyNumberFormat="1" applyFont="1" applyFill="1" applyBorder="1"/>
    <xf numFmtId="165" fontId="0" fillId="6" borderId="25" xfId="0" applyNumberForma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164" fontId="20" fillId="7" borderId="15" xfId="2" applyNumberFormat="1" applyFont="1" applyFill="1" applyBorder="1"/>
    <xf numFmtId="164" fontId="20" fillId="7" borderId="15" xfId="2" applyNumberFormat="1" applyFont="1" applyFill="1" applyBorder="1" applyAlignment="1">
      <alignment horizontal="center"/>
    </xf>
    <xf numFmtId="164" fontId="13" fillId="7" borderId="15" xfId="2" applyNumberFormat="1" applyFont="1" applyFill="1" applyBorder="1"/>
    <xf numFmtId="165" fontId="0" fillId="7" borderId="15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164" fontId="13" fillId="0" borderId="15" xfId="2" applyNumberFormat="1" applyFont="1" applyBorder="1"/>
    <xf numFmtId="0" fontId="3" fillId="0" borderId="15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11" fillId="0" borderId="15" xfId="2" applyNumberFormat="1" applyFont="1" applyBorder="1" applyAlignment="1">
      <alignment horizontal="center" vertical="center"/>
    </xf>
    <xf numFmtId="0" fontId="3" fillId="0" borderId="15" xfId="0" applyFont="1" applyBorder="1"/>
    <xf numFmtId="0" fontId="0" fillId="0" borderId="15" xfId="0" applyBorder="1" applyAlignment="1">
      <alignment horizontal="center"/>
    </xf>
    <xf numFmtId="0" fontId="0" fillId="7" borderId="15" xfId="0" applyFill="1" applyBorder="1"/>
    <xf numFmtId="164" fontId="0" fillId="0" borderId="15" xfId="2" applyNumberFormat="1" applyFont="1" applyBorder="1" applyAlignment="1">
      <alignment horizontal="center"/>
    </xf>
    <xf numFmtId="164" fontId="1" fillId="0" borderId="15" xfId="2" applyNumberFormat="1" applyFont="1" applyBorder="1"/>
    <xf numFmtId="0" fontId="3" fillId="6" borderId="15" xfId="0" applyFont="1" applyFill="1" applyBorder="1"/>
    <xf numFmtId="164" fontId="0" fillId="6" borderId="15" xfId="0" applyNumberFormat="1" applyFill="1" applyBorder="1"/>
    <xf numFmtId="164" fontId="0" fillId="6" borderId="15" xfId="0" applyNumberFormat="1" applyFill="1" applyBorder="1" applyAlignment="1">
      <alignment horizontal="center"/>
    </xf>
    <xf numFmtId="0" fontId="0" fillId="6" borderId="15" xfId="0" applyFill="1" applyBorder="1"/>
    <xf numFmtId="0" fontId="23" fillId="7" borderId="15" xfId="0" applyFont="1" applyFill="1" applyBorder="1" applyAlignment="1">
      <alignment horizontal="left"/>
    </xf>
    <xf numFmtId="164" fontId="24" fillId="7" borderId="30" xfId="0" applyNumberFormat="1" applyFont="1" applyFill="1" applyBorder="1"/>
    <xf numFmtId="164" fontId="24" fillId="7" borderId="30" xfId="0" applyNumberFormat="1" applyFont="1" applyFill="1" applyBorder="1" applyAlignment="1">
      <alignment horizontal="center"/>
    </xf>
    <xf numFmtId="164" fontId="24" fillId="7" borderId="31" xfId="0" applyNumberFormat="1" applyFont="1" applyFill="1" applyBorder="1"/>
    <xf numFmtId="164" fontId="0" fillId="7" borderId="30" xfId="0" applyNumberFormat="1" applyFill="1" applyBorder="1"/>
    <xf numFmtId="0" fontId="0" fillId="7" borderId="32" xfId="0" applyFill="1" applyBorder="1"/>
    <xf numFmtId="0" fontId="23" fillId="7" borderId="15" xfId="0" applyFont="1" applyFill="1" applyBorder="1" applyAlignment="1">
      <alignment horizontal="center"/>
    </xf>
    <xf numFmtId="164" fontId="0" fillId="7" borderId="31" xfId="0" applyNumberFormat="1" applyFill="1" applyBorder="1"/>
    <xf numFmtId="164" fontId="24" fillId="7" borderId="0" xfId="0" applyNumberFormat="1" applyFont="1" applyFill="1"/>
    <xf numFmtId="164" fontId="24" fillId="7" borderId="0" xfId="0" applyNumberFormat="1" applyFont="1" applyFill="1" applyAlignment="1">
      <alignment horizontal="center"/>
    </xf>
    <xf numFmtId="164" fontId="24" fillId="7" borderId="33" xfId="0" applyNumberFormat="1" applyFont="1" applyFill="1" applyBorder="1"/>
    <xf numFmtId="164" fontId="0" fillId="7" borderId="0" xfId="0" applyNumberFormat="1" applyFill="1"/>
    <xf numFmtId="0" fontId="0" fillId="7" borderId="34" xfId="0" applyFill="1" applyBorder="1"/>
    <xf numFmtId="164" fontId="0" fillId="7" borderId="35" xfId="0" applyNumberFormat="1" applyFill="1" applyBorder="1"/>
    <xf numFmtId="0" fontId="25" fillId="0" borderId="36" xfId="0" applyFont="1" applyBorder="1"/>
    <xf numFmtId="164" fontId="0" fillId="7" borderId="10" xfId="0" applyNumberFormat="1" applyFill="1" applyBorder="1"/>
    <xf numFmtId="164" fontId="0" fillId="7" borderId="10" xfId="0" applyNumberFormat="1" applyFill="1" applyBorder="1" applyAlignment="1">
      <alignment horizontal="center"/>
    </xf>
    <xf numFmtId="0" fontId="20" fillId="0" borderId="10" xfId="0" applyFont="1" applyBorder="1"/>
    <xf numFmtId="0" fontId="26" fillId="0" borderId="10" xfId="0" applyFont="1" applyBorder="1"/>
    <xf numFmtId="164" fontId="0" fillId="7" borderId="0" xfId="0" applyNumberFormat="1" applyFill="1" applyAlignment="1">
      <alignment vertical="center"/>
    </xf>
    <xf numFmtId="0" fontId="0" fillId="7" borderId="5" xfId="0" applyFill="1" applyBorder="1"/>
    <xf numFmtId="0" fontId="20" fillId="0" borderId="4" xfId="0" applyFont="1" applyBorder="1"/>
    <xf numFmtId="164" fontId="0" fillId="7" borderId="35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0" xfId="0" applyFill="1"/>
    <xf numFmtId="164" fontId="0" fillId="7" borderId="37" xfId="0" applyNumberFormat="1" applyFill="1" applyBorder="1"/>
    <xf numFmtId="164" fontId="0" fillId="7" borderId="37" xfId="0" applyNumberForma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5" borderId="18" xfId="0" applyFont="1" applyFill="1" applyBorder="1"/>
    <xf numFmtId="164" fontId="0" fillId="5" borderId="16" xfId="0" applyNumberFormat="1" applyFill="1" applyBorder="1"/>
    <xf numFmtId="164" fontId="0" fillId="5" borderId="16" xfId="0" applyNumberFormat="1" applyFill="1" applyBorder="1" applyAlignment="1">
      <alignment horizontal="center"/>
    </xf>
    <xf numFmtId="164" fontId="0" fillId="5" borderId="19" xfId="2" applyNumberFormat="1" applyFont="1" applyFill="1" applyBorder="1"/>
    <xf numFmtId="0" fontId="3" fillId="5" borderId="20" xfId="0" applyFont="1" applyFill="1" applyBorder="1"/>
    <xf numFmtId="164" fontId="0" fillId="5" borderId="15" xfId="0" applyNumberFormat="1" applyFill="1" applyBorder="1"/>
    <xf numFmtId="164" fontId="0" fillId="5" borderId="15" xfId="0" applyNumberFormat="1" applyFill="1" applyBorder="1" applyAlignment="1">
      <alignment horizontal="center"/>
    </xf>
    <xf numFmtId="164" fontId="0" fillId="5" borderId="21" xfId="2" applyNumberFormat="1" applyFont="1" applyFill="1" applyBorder="1"/>
    <xf numFmtId="0" fontId="3" fillId="6" borderId="22" xfId="0" applyFont="1" applyFill="1" applyBorder="1"/>
    <xf numFmtId="164" fontId="0" fillId="6" borderId="23" xfId="0" applyNumberFormat="1" applyFill="1" applyBorder="1"/>
    <xf numFmtId="164" fontId="0" fillId="6" borderId="23" xfId="0" applyNumberFormat="1" applyFill="1" applyBorder="1" applyAlignment="1">
      <alignment horizontal="center"/>
    </xf>
    <xf numFmtId="164" fontId="0" fillId="6" borderId="23" xfId="2" applyNumberFormat="1" applyFont="1" applyFill="1" applyBorder="1"/>
    <xf numFmtId="164" fontId="0" fillId="6" borderId="24" xfId="2" applyNumberFormat="1" applyFont="1" applyFill="1" applyBorder="1"/>
    <xf numFmtId="0" fontId="3" fillId="9" borderId="25" xfId="0" applyFont="1" applyFill="1" applyBorder="1"/>
    <xf numFmtId="164" fontId="0" fillId="9" borderId="25" xfId="0" applyNumberFormat="1" applyFill="1" applyBorder="1"/>
    <xf numFmtId="164" fontId="0" fillId="9" borderId="25" xfId="0" applyNumberFormat="1" applyFill="1" applyBorder="1" applyAlignment="1">
      <alignment horizontal="center"/>
    </xf>
    <xf numFmtId="164" fontId="0" fillId="9" borderId="25" xfId="2" applyNumberFormat="1" applyFont="1" applyFill="1" applyBorder="1"/>
    <xf numFmtId="164" fontId="0" fillId="9" borderId="0" xfId="0" applyNumberFormat="1" applyFill="1"/>
    <xf numFmtId="0" fontId="0" fillId="9" borderId="0" xfId="0" applyFill="1"/>
    <xf numFmtId="0" fontId="3" fillId="6" borderId="38" xfId="0" applyFont="1" applyFill="1" applyBorder="1"/>
    <xf numFmtId="164" fontId="0" fillId="6" borderId="28" xfId="0" applyNumberFormat="1" applyFill="1" applyBorder="1"/>
    <xf numFmtId="164" fontId="0" fillId="6" borderId="28" xfId="0" applyNumberFormat="1" applyFill="1" applyBorder="1" applyAlignment="1">
      <alignment horizontal="center"/>
    </xf>
    <xf numFmtId="164" fontId="0" fillId="6" borderId="28" xfId="2" applyNumberFormat="1" applyFont="1" applyFill="1" applyBorder="1"/>
    <xf numFmtId="164" fontId="0" fillId="6" borderId="39" xfId="2" applyNumberFormat="1" applyFont="1" applyFill="1" applyBorder="1"/>
    <xf numFmtId="0" fontId="3" fillId="5" borderId="26" xfId="0" applyFont="1" applyFill="1" applyBorder="1"/>
    <xf numFmtId="164" fontId="0" fillId="5" borderId="14" xfId="0" applyNumberFormat="1" applyFill="1" applyBorder="1"/>
    <xf numFmtId="164" fontId="0" fillId="5" borderId="14" xfId="0" applyNumberFormat="1" applyFill="1" applyBorder="1" applyAlignment="1">
      <alignment horizontal="center"/>
    </xf>
    <xf numFmtId="164" fontId="0" fillId="5" borderId="27" xfId="2" applyNumberFormat="1" applyFont="1" applyFill="1" applyBorder="1"/>
    <xf numFmtId="0" fontId="3" fillId="5" borderId="40" xfId="0" applyFont="1" applyFill="1" applyBorder="1"/>
    <xf numFmtId="164" fontId="0" fillId="5" borderId="17" xfId="0" applyNumberFormat="1" applyFill="1" applyBorder="1"/>
    <xf numFmtId="164" fontId="0" fillId="5" borderId="17" xfId="0" applyNumberFormat="1" applyFill="1" applyBorder="1" applyAlignment="1">
      <alignment horizontal="center"/>
    </xf>
    <xf numFmtId="164" fontId="0" fillId="5" borderId="17" xfId="2" applyNumberFormat="1" applyFont="1" applyFill="1" applyBorder="1"/>
    <xf numFmtId="164" fontId="0" fillId="5" borderId="41" xfId="2" applyNumberFormat="1" applyFont="1" applyFill="1" applyBorder="1"/>
    <xf numFmtId="0" fontId="3" fillId="6" borderId="38" xfId="0" applyFont="1" applyFill="1" applyBorder="1" applyAlignment="1">
      <alignment horizontal="center"/>
    </xf>
    <xf numFmtId="164" fontId="0" fillId="6" borderId="28" xfId="2" applyNumberFormat="1" applyFont="1" applyFill="1" applyBorder="1" applyAlignment="1">
      <alignment horizontal="center"/>
    </xf>
    <xf numFmtId="164" fontId="0" fillId="7" borderId="0" xfId="2" applyNumberFormat="1" applyFont="1" applyFill="1" applyBorder="1"/>
    <xf numFmtId="164" fontId="1" fillId="7" borderId="0" xfId="2" applyNumberFormat="1" applyFont="1" applyFill="1" applyBorder="1"/>
    <xf numFmtId="164" fontId="13" fillId="7" borderId="0" xfId="2" applyNumberFormat="1" applyFont="1" applyFill="1" applyBorder="1"/>
    <xf numFmtId="164" fontId="0" fillId="0" borderId="14" xfId="2" applyNumberFormat="1" applyFont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164" fontId="0" fillId="6" borderId="23" xfId="2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left"/>
    </xf>
    <xf numFmtId="164" fontId="0" fillId="7" borderId="14" xfId="2" applyNumberFormat="1" applyFont="1" applyFill="1" applyBorder="1"/>
    <xf numFmtId="164" fontId="0" fillId="7" borderId="14" xfId="2" applyNumberFormat="1" applyFont="1" applyFill="1" applyBorder="1" applyAlignment="1">
      <alignment horizontal="center"/>
    </xf>
    <xf numFmtId="44" fontId="0" fillId="7" borderId="14" xfId="2" applyFont="1" applyFill="1" applyBorder="1"/>
    <xf numFmtId="44" fontId="0" fillId="7" borderId="27" xfId="2" applyFont="1" applyFill="1" applyBorder="1"/>
    <xf numFmtId="44" fontId="0" fillId="7" borderId="0" xfId="2" applyFont="1" applyFill="1" applyBorder="1"/>
    <xf numFmtId="0" fontId="0" fillId="7" borderId="20" xfId="0" applyFill="1" applyBorder="1" applyAlignment="1">
      <alignment horizontal="left"/>
    </xf>
    <xf numFmtId="164" fontId="0" fillId="7" borderId="15" xfId="2" applyNumberFormat="1" applyFont="1" applyFill="1" applyBorder="1" applyAlignment="1">
      <alignment horizontal="center"/>
    </xf>
    <xf numFmtId="44" fontId="0" fillId="7" borderId="15" xfId="2" applyFont="1" applyFill="1" applyBorder="1"/>
    <xf numFmtId="44" fontId="0" fillId="7" borderId="21" xfId="2" applyFont="1" applyFill="1" applyBorder="1"/>
    <xf numFmtId="44" fontId="0" fillId="6" borderId="23" xfId="2" applyFont="1" applyFill="1" applyBorder="1"/>
    <xf numFmtId="44" fontId="0" fillId="6" borderId="24" xfId="2" applyFont="1" applyFill="1" applyBorder="1"/>
    <xf numFmtId="164" fontId="1" fillId="6" borderId="28" xfId="2" applyNumberFormat="1" applyFill="1" applyBorder="1"/>
    <xf numFmtId="164" fontId="1" fillId="6" borderId="28" xfId="2" applyNumberFormat="1" applyFill="1" applyBorder="1" applyAlignment="1">
      <alignment horizontal="center"/>
    </xf>
    <xf numFmtId="164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164" fontId="3" fillId="0" borderId="14" xfId="0" applyNumberFormat="1" applyFont="1" applyBorder="1"/>
    <xf numFmtId="164" fontId="1" fillId="7" borderId="14" xfId="2" applyNumberFormat="1" applyFill="1" applyBorder="1"/>
    <xf numFmtId="164" fontId="1" fillId="7" borderId="27" xfId="2" applyNumberFormat="1" applyFill="1" applyBorder="1"/>
    <xf numFmtId="164" fontId="1" fillId="7" borderId="0" xfId="2" applyNumberFormat="1" applyFill="1" applyBorder="1"/>
    <xf numFmtId="164" fontId="0" fillId="0" borderId="15" xfId="0" applyNumberFormat="1" applyBorder="1"/>
    <xf numFmtId="164" fontId="0" fillId="0" borderId="15" xfId="0" applyNumberFormat="1" applyBorder="1" applyAlignment="1">
      <alignment horizontal="center"/>
    </xf>
    <xf numFmtId="164" fontId="1" fillId="7" borderId="15" xfId="2" applyNumberFormat="1" applyFill="1" applyBorder="1"/>
    <xf numFmtId="164" fontId="1" fillId="7" borderId="21" xfId="2" applyNumberFormat="1" applyFill="1" applyBorder="1"/>
    <xf numFmtId="164" fontId="0" fillId="7" borderId="21" xfId="2" applyNumberFormat="1" applyFont="1" applyFill="1" applyBorder="1"/>
    <xf numFmtId="0" fontId="0" fillId="0" borderId="40" xfId="0" applyBorder="1"/>
    <xf numFmtId="164" fontId="0" fillId="0" borderId="41" xfId="2" applyNumberFormat="1" applyFont="1" applyBorder="1"/>
    <xf numFmtId="0" fontId="20" fillId="9" borderId="0" xfId="0" applyFont="1" applyFill="1"/>
    <xf numFmtId="0" fontId="20" fillId="7" borderId="0" xfId="0" applyFont="1" applyFill="1"/>
    <xf numFmtId="0" fontId="3" fillId="6" borderId="3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6" borderId="28" xfId="0" applyFill="1" applyBorder="1"/>
    <xf numFmtId="0" fontId="0" fillId="6" borderId="28" xfId="0" applyFill="1" applyBorder="1" applyAlignment="1">
      <alignment horizontal="center"/>
    </xf>
    <xf numFmtId="0" fontId="3" fillId="6" borderId="28" xfId="0" applyFont="1" applyFill="1" applyBorder="1"/>
    <xf numFmtId="0" fontId="0" fillId="6" borderId="39" xfId="0" applyFill="1" applyBorder="1"/>
    <xf numFmtId="0" fontId="0" fillId="7" borderId="26" xfId="0" applyFill="1" applyBorder="1" applyAlignment="1">
      <alignment horizontal="left" vertical="center"/>
    </xf>
    <xf numFmtId="0" fontId="3" fillId="7" borderId="14" xfId="0" applyFont="1" applyFill="1" applyBorder="1" applyAlignment="1">
      <alignment horizontal="center" vertical="center"/>
    </xf>
    <xf numFmtId="0" fontId="0" fillId="7" borderId="14" xfId="0" applyFill="1" applyBorder="1"/>
    <xf numFmtId="164" fontId="0" fillId="7" borderId="27" xfId="0" applyNumberFormat="1" applyFill="1" applyBorder="1"/>
    <xf numFmtId="0" fontId="0" fillId="7" borderId="20" xfId="0" applyFill="1" applyBorder="1" applyAlignment="1">
      <alignment horizontal="left" vertical="center"/>
    </xf>
    <xf numFmtId="164" fontId="0" fillId="7" borderId="21" xfId="0" applyNumberFormat="1" applyFill="1" applyBorder="1"/>
    <xf numFmtId="164" fontId="0" fillId="0" borderId="21" xfId="2" applyNumberFormat="1" applyFont="1" applyBorder="1"/>
    <xf numFmtId="0" fontId="0" fillId="7" borderId="20" xfId="0" applyFill="1" applyBorder="1"/>
    <xf numFmtId="164" fontId="0" fillId="7" borderId="17" xfId="2" applyNumberFormat="1" applyFont="1" applyFill="1" applyBorder="1"/>
    <xf numFmtId="0" fontId="20" fillId="6" borderId="38" xfId="0" applyFont="1" applyFill="1" applyBorder="1"/>
    <xf numFmtId="0" fontId="20" fillId="6" borderId="9" xfId="0" applyFont="1" applyFill="1" applyBorder="1"/>
    <xf numFmtId="164" fontId="0" fillId="6" borderId="12" xfId="0" applyNumberFormat="1" applyFill="1" applyBorder="1"/>
    <xf numFmtId="164" fontId="0" fillId="6" borderId="29" xfId="0" applyNumberFormat="1" applyFill="1" applyBorder="1"/>
    <xf numFmtId="0" fontId="20" fillId="6" borderId="38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6" borderId="39" xfId="0" applyNumberFormat="1" applyFill="1" applyBorder="1"/>
    <xf numFmtId="0" fontId="0" fillId="9" borderId="0" xfId="0" applyFill="1" applyAlignment="1">
      <alignment horizontal="center"/>
    </xf>
    <xf numFmtId="164" fontId="0" fillId="7" borderId="2" xfId="2" applyNumberFormat="1" applyFont="1" applyFill="1" applyBorder="1"/>
    <xf numFmtId="164" fontId="1" fillId="7" borderId="3" xfId="2" applyNumberFormat="1" applyFont="1" applyFill="1" applyBorder="1"/>
    <xf numFmtId="0" fontId="20" fillId="6" borderId="42" xfId="0" applyFont="1" applyFill="1" applyBorder="1"/>
    <xf numFmtId="164" fontId="0" fillId="6" borderId="43" xfId="2" applyNumberFormat="1" applyFont="1" applyFill="1" applyBorder="1"/>
    <xf numFmtId="164" fontId="0" fillId="6" borderId="43" xfId="2" applyNumberFormat="1" applyFont="1" applyFill="1" applyBorder="1" applyAlignment="1">
      <alignment horizontal="center"/>
    </xf>
    <xf numFmtId="164" fontId="0" fillId="6" borderId="10" xfId="2" applyNumberFormat="1" applyFont="1" applyFill="1" applyBorder="1"/>
    <xf numFmtId="164" fontId="1" fillId="6" borderId="13" xfId="2" applyNumberFormat="1" applyFont="1" applyFill="1" applyBorder="1"/>
    <xf numFmtId="0" fontId="0" fillId="6" borderId="0" xfId="0" applyFill="1"/>
    <xf numFmtId="0" fontId="0" fillId="3" borderId="0" xfId="0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" fillId="7" borderId="15" xfId="2" applyNumberFormat="1" applyFont="1" applyFill="1" applyBorder="1"/>
    <xf numFmtId="164" fontId="0" fillId="7" borderId="27" xfId="2" applyNumberFormat="1" applyFont="1" applyFill="1" applyBorder="1"/>
    <xf numFmtId="0" fontId="27" fillId="7" borderId="15" xfId="0" applyFont="1" applyFill="1" applyBorder="1" applyAlignment="1">
      <alignment horizontal="center" vertical="center"/>
    </xf>
    <xf numFmtId="164" fontId="28" fillId="6" borderId="25" xfId="2" applyNumberFormat="1" applyFont="1" applyFill="1" applyBorder="1"/>
    <xf numFmtId="164" fontId="29" fillId="6" borderId="25" xfId="2" applyNumberFormat="1" applyFont="1" applyFill="1" applyBorder="1"/>
    <xf numFmtId="164" fontId="0" fillId="10" borderId="16" xfId="2" applyNumberFormat="1" applyFont="1" applyFill="1" applyBorder="1"/>
    <xf numFmtId="164" fontId="0" fillId="10" borderId="15" xfId="2" applyNumberFormat="1" applyFont="1" applyFill="1" applyBorder="1"/>
    <xf numFmtId="164" fontId="0" fillId="10" borderId="14" xfId="2" applyNumberFormat="1" applyFont="1" applyFill="1" applyBorder="1"/>
    <xf numFmtId="164" fontId="0" fillId="10" borderId="0" xfId="0" applyNumberFormat="1" applyFill="1"/>
    <xf numFmtId="0" fontId="3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 vertical="center"/>
    </xf>
    <xf numFmtId="164" fontId="0" fillId="10" borderId="23" xfId="2" applyNumberFormat="1" applyFont="1" applyFill="1" applyBorder="1"/>
    <xf numFmtId="164" fontId="0" fillId="10" borderId="25" xfId="2" applyNumberFormat="1" applyFont="1" applyFill="1" applyBorder="1"/>
    <xf numFmtId="164" fontId="0" fillId="10" borderId="28" xfId="2" applyNumberFormat="1" applyFont="1" applyFill="1" applyBorder="1"/>
    <xf numFmtId="164" fontId="0" fillId="10" borderId="17" xfId="2" applyNumberFormat="1" applyFont="1" applyFill="1" applyBorder="1"/>
    <xf numFmtId="44" fontId="0" fillId="10" borderId="15" xfId="2" applyFont="1" applyFill="1" applyBorder="1"/>
    <xf numFmtId="44" fontId="0" fillId="10" borderId="14" xfId="2" applyFont="1" applyFill="1" applyBorder="1"/>
    <xf numFmtId="44" fontId="0" fillId="10" borderId="23" xfId="2" applyFont="1" applyFill="1" applyBorder="1"/>
    <xf numFmtId="164" fontId="1" fillId="10" borderId="28" xfId="2" applyNumberFormat="1" applyFill="1" applyBorder="1"/>
    <xf numFmtId="164" fontId="1" fillId="10" borderId="14" xfId="2" applyNumberFormat="1" applyFill="1" applyBorder="1"/>
    <xf numFmtId="0" fontId="20" fillId="10" borderId="0" xfId="0" applyFont="1" applyFill="1"/>
    <xf numFmtId="0" fontId="0" fillId="10" borderId="28" xfId="0" applyFill="1" applyBorder="1"/>
    <xf numFmtId="164" fontId="0" fillId="10" borderId="28" xfId="0" applyNumberFormat="1" applyFill="1" applyBorder="1"/>
    <xf numFmtId="164" fontId="0" fillId="10" borderId="12" xfId="0" applyNumberFormat="1" applyFill="1" applyBorder="1"/>
    <xf numFmtId="0" fontId="0" fillId="10" borderId="14" xfId="0" applyFill="1" applyBorder="1"/>
    <xf numFmtId="0" fontId="0" fillId="10" borderId="0" xfId="0" applyFill="1"/>
    <xf numFmtId="0" fontId="0" fillId="7" borderId="2" xfId="0" applyFill="1" applyBorder="1"/>
    <xf numFmtId="0" fontId="26" fillId="7" borderId="10" xfId="0" applyFont="1" applyFill="1" applyBorder="1"/>
    <xf numFmtId="0" fontId="0" fillId="7" borderId="14" xfId="0" applyFill="1" applyBorder="1" applyAlignment="1">
      <alignment vertical="center"/>
    </xf>
    <xf numFmtId="164" fontId="0" fillId="11" borderId="15" xfId="2" applyNumberFormat="1" applyFont="1" applyFill="1" applyBorder="1"/>
    <xf numFmtId="43" fontId="14" fillId="7" borderId="14" xfId="1" applyFont="1" applyFill="1" applyBorder="1"/>
    <xf numFmtId="164" fontId="16" fillId="7" borderId="25" xfId="2" applyNumberFormat="1" applyFont="1" applyFill="1" applyBorder="1"/>
    <xf numFmtId="164" fontId="0" fillId="6" borderId="15" xfId="2" applyNumberFormat="1" applyFont="1" applyFill="1" applyBorder="1"/>
    <xf numFmtId="0" fontId="3" fillId="7" borderId="16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/>
    </xf>
    <xf numFmtId="164" fontId="17" fillId="7" borderId="25" xfId="2" applyNumberFormat="1" applyFont="1" applyFill="1" applyBorder="1"/>
    <xf numFmtId="164" fontId="22" fillId="7" borderId="15" xfId="2" applyNumberFormat="1" applyFont="1" applyFill="1" applyBorder="1"/>
    <xf numFmtId="167" fontId="0" fillId="4" borderId="15" xfId="2" applyNumberFormat="1" applyFont="1" applyFill="1" applyBorder="1"/>
    <xf numFmtId="167" fontId="0" fillId="0" borderId="15" xfId="2" applyNumberFormat="1" applyFont="1" applyBorder="1"/>
    <xf numFmtId="167" fontId="0" fillId="3" borderId="16" xfId="2" applyNumberFormat="1" applyFont="1" applyFill="1" applyBorder="1"/>
    <xf numFmtId="167" fontId="0" fillId="3" borderId="15" xfId="2" applyNumberFormat="1" applyFont="1" applyFill="1" applyBorder="1"/>
    <xf numFmtId="164" fontId="2" fillId="5" borderId="15" xfId="2" applyNumberFormat="1" applyFont="1" applyFill="1" applyBorder="1"/>
    <xf numFmtId="164" fontId="12" fillId="7" borderId="15" xfId="2" applyNumberFormat="1" applyFont="1" applyFill="1" applyBorder="1"/>
    <xf numFmtId="167" fontId="0" fillId="7" borderId="15" xfId="2" applyNumberFormat="1" applyFont="1" applyFill="1" applyBorder="1"/>
    <xf numFmtId="164" fontId="0" fillId="2" borderId="15" xfId="2" applyNumberFormat="1" applyFont="1" applyFill="1" applyBorder="1"/>
    <xf numFmtId="164" fontId="3" fillId="6" borderId="23" xfId="2" applyNumberFormat="1" applyFont="1" applyFill="1" applyBorder="1"/>
    <xf numFmtId="164" fontId="3" fillId="6" borderId="23" xfId="2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3" fillId="6" borderId="12" xfId="2" applyNumberFormat="1" applyFont="1" applyFill="1" applyBorder="1"/>
    <xf numFmtId="164" fontId="3" fillId="6" borderId="12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237530</xdr:colOff>
      <xdr:row>0</xdr:row>
      <xdr:rowOff>281462</xdr:rowOff>
    </xdr:from>
    <xdr:to>
      <xdr:col>0</xdr:col>
      <xdr:colOff>1438275</xdr:colOff>
      <xdr:row>4</xdr:row>
      <xdr:rowOff>0</xdr:rowOff>
    </xdr:to>
    <xdr:pic>
      <xdr:nvPicPr>
        <xdr:cNvPr id="2" name="Picture 1" descr="MCSD_logo for web">
          <a:extLst>
            <a:ext uri="{FF2B5EF4-FFF2-40B4-BE49-F238E27FC236}">
              <a16:creationId xmlns:a16="http://schemas.microsoft.com/office/drawing/2014/main" id="{012B8690-3B67-465A-B2E7-400D9848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30" y="281462"/>
          <a:ext cx="1200745" cy="82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5572-EAE6-4A3E-819E-75890A0BACE6}">
  <sheetPr>
    <pageSetUpPr fitToPage="1"/>
  </sheetPr>
  <dimension ref="A1:S478"/>
  <sheetViews>
    <sheetView tabSelected="1" topLeftCell="A121" workbookViewId="0">
      <selection activeCell="A149" sqref="A149"/>
    </sheetView>
  </sheetViews>
  <sheetFormatPr defaultRowHeight="15" x14ac:dyDescent="0.25"/>
  <cols>
    <col min="1" max="1" width="43" customWidth="1"/>
    <col min="2" max="2" width="0.28515625" customWidth="1"/>
    <col min="3" max="4" width="0" hidden="1" customWidth="1"/>
    <col min="5" max="5" width="13.28515625" customWidth="1"/>
    <col min="6" max="6" width="12.7109375" customWidth="1"/>
    <col min="7" max="7" width="13" customWidth="1"/>
    <col min="8" max="8" width="12.7109375" customWidth="1"/>
    <col min="9" max="9" width="13" style="304" customWidth="1"/>
    <col min="10" max="10" width="12.85546875" customWidth="1"/>
    <col min="11" max="12" width="12.7109375" customWidth="1"/>
    <col min="13" max="13" width="13.7109375" customWidth="1"/>
    <col min="14" max="14" width="12.5703125" customWidth="1"/>
    <col min="15" max="15" width="13.42578125" customWidth="1"/>
    <col min="16" max="16" width="12.5703125" customWidth="1"/>
    <col min="17" max="18" width="13.85546875" customWidth="1"/>
    <col min="19" max="19" width="7.28515625" customWidth="1"/>
  </cols>
  <sheetData>
    <row r="1" spans="1:19" ht="22.5" x14ac:dyDescent="0.25">
      <c r="A1" s="1"/>
      <c r="B1" s="2"/>
      <c r="C1" s="2"/>
      <c r="D1" s="2"/>
      <c r="E1" s="3"/>
      <c r="F1" s="3"/>
      <c r="G1" s="3"/>
      <c r="H1" s="3"/>
      <c r="I1" s="305"/>
      <c r="J1" s="3"/>
      <c r="K1" s="3"/>
      <c r="L1" s="2"/>
      <c r="M1" s="3"/>
      <c r="N1" s="3"/>
      <c r="O1" s="3"/>
      <c r="P1" s="3"/>
      <c r="Q1" s="3"/>
      <c r="R1" s="4"/>
      <c r="S1" s="5"/>
    </row>
    <row r="2" spans="1:19" ht="23.25" x14ac:dyDescent="0.25">
      <c r="A2" s="329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6"/>
      <c r="Q2" s="277"/>
      <c r="R2" s="7"/>
      <c r="S2" s="8"/>
    </row>
    <row r="3" spans="1:19" ht="20.25" x14ac:dyDescent="0.25">
      <c r="A3" s="331" t="s">
        <v>148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9"/>
      <c r="Q3" s="278"/>
      <c r="R3" s="10"/>
      <c r="S3" s="11"/>
    </row>
    <row r="4" spans="1:19" ht="21" thickBot="1" x14ac:dyDescent="0.3">
      <c r="A4" s="333">
        <v>44421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R4" s="12"/>
      <c r="S4" s="13"/>
    </row>
    <row r="5" spans="1:19" x14ac:dyDescent="0.25">
      <c r="A5" s="14"/>
      <c r="B5" s="3"/>
      <c r="C5" s="3"/>
      <c r="D5" s="15"/>
      <c r="E5" s="16">
        <v>1010</v>
      </c>
      <c r="F5" s="16">
        <v>1020</v>
      </c>
      <c r="G5" s="16">
        <v>1040</v>
      </c>
      <c r="H5" s="16">
        <v>1050</v>
      </c>
      <c r="I5" s="16">
        <v>1060</v>
      </c>
      <c r="J5" s="16">
        <v>1070</v>
      </c>
      <c r="K5" s="16">
        <v>1080</v>
      </c>
      <c r="L5" s="16">
        <v>1090</v>
      </c>
      <c r="M5" s="16">
        <v>2000</v>
      </c>
      <c r="N5" s="16">
        <v>3000</v>
      </c>
      <c r="O5" s="17" t="s">
        <v>121</v>
      </c>
      <c r="P5" s="18" t="s">
        <v>1</v>
      </c>
      <c r="Q5" s="18" t="s">
        <v>1</v>
      </c>
      <c r="R5" s="19" t="s">
        <v>2</v>
      </c>
      <c r="S5" s="20" t="s">
        <v>3</v>
      </c>
    </row>
    <row r="6" spans="1:19" ht="15.75" thickBot="1" x14ac:dyDescent="0.3">
      <c r="A6" s="21"/>
      <c r="B6" s="22" t="s">
        <v>4</v>
      </c>
      <c r="C6" s="22"/>
      <c r="D6" s="23"/>
      <c r="E6" s="24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25" t="s">
        <v>14</v>
      </c>
      <c r="O6" s="26" t="s">
        <v>15</v>
      </c>
      <c r="P6" s="27" t="s">
        <v>16</v>
      </c>
      <c r="Q6" s="27" t="s">
        <v>15</v>
      </c>
      <c r="R6" s="28" t="s">
        <v>17</v>
      </c>
      <c r="S6" s="29" t="s">
        <v>18</v>
      </c>
    </row>
    <row r="7" spans="1:19" ht="15.75" thickBot="1" x14ac:dyDescent="0.3">
      <c r="A7" s="30" t="s">
        <v>19</v>
      </c>
      <c r="B7" s="30"/>
      <c r="C7" s="30"/>
      <c r="D7" s="30"/>
      <c r="E7" s="31"/>
      <c r="F7" s="31"/>
      <c r="G7" s="31"/>
      <c r="H7" s="31"/>
      <c r="I7" s="307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5.75" thickBot="1" x14ac:dyDescent="0.3">
      <c r="A8" s="32" t="s">
        <v>20</v>
      </c>
      <c r="B8" s="33">
        <f>SUM(E8:N8)</f>
        <v>254670</v>
      </c>
      <c r="C8" s="33"/>
      <c r="D8" s="34" t="s">
        <v>21</v>
      </c>
      <c r="E8" s="35">
        <v>78000</v>
      </c>
      <c r="F8" s="33">
        <v>0</v>
      </c>
      <c r="G8" s="35">
        <v>123378</v>
      </c>
      <c r="H8" s="35"/>
      <c r="I8" s="35"/>
      <c r="J8" s="35">
        <v>46586</v>
      </c>
      <c r="K8" s="35">
        <v>6706</v>
      </c>
      <c r="L8" s="35"/>
      <c r="M8" s="35">
        <v>0</v>
      </c>
      <c r="N8" s="35">
        <v>0</v>
      </c>
      <c r="O8" s="36">
        <f>SUM(E8:N8)</f>
        <v>254670</v>
      </c>
      <c r="P8" s="36">
        <v>264309</v>
      </c>
      <c r="Q8" s="36">
        <v>254670</v>
      </c>
      <c r="R8" s="37">
        <f>Q8-P8</f>
        <v>-9639</v>
      </c>
      <c r="S8" s="32"/>
    </row>
    <row r="9" spans="1:19" ht="15.75" thickBot="1" x14ac:dyDescent="0.3">
      <c r="A9" s="32" t="s">
        <v>22</v>
      </c>
      <c r="B9" s="33">
        <f t="shared" ref="B9:B11" si="0">SUM(E9:N9)</f>
        <v>1564141</v>
      </c>
      <c r="C9" s="33" t="s">
        <v>23</v>
      </c>
      <c r="D9" s="34" t="s">
        <v>21</v>
      </c>
      <c r="E9" s="33">
        <v>0</v>
      </c>
      <c r="F9" s="33">
        <v>0</v>
      </c>
      <c r="G9" s="35">
        <v>0</v>
      </c>
      <c r="H9" s="35">
        <f>3404*12</f>
        <v>40848</v>
      </c>
      <c r="I9" s="35">
        <f>1628*12</f>
        <v>19536</v>
      </c>
      <c r="J9" s="35">
        <v>0</v>
      </c>
      <c r="K9" s="35">
        <v>0</v>
      </c>
      <c r="L9" s="35">
        <v>390633</v>
      </c>
      <c r="M9" s="35">
        <v>521414</v>
      </c>
      <c r="N9" s="35">
        <v>591710</v>
      </c>
      <c r="O9" s="36">
        <f>SUM(E9:N9)</f>
        <v>1564141</v>
      </c>
      <c r="P9" s="36">
        <v>1525001</v>
      </c>
      <c r="Q9" s="36">
        <v>1428553</v>
      </c>
      <c r="R9" s="37">
        <f t="shared" ref="R9:R12" si="1">Q9-P9</f>
        <v>-96448</v>
      </c>
      <c r="S9" s="32"/>
    </row>
    <row r="10" spans="1:19" ht="15.75" thickBot="1" x14ac:dyDescent="0.3">
      <c r="A10" s="32" t="s">
        <v>24</v>
      </c>
      <c r="B10" s="33">
        <f t="shared" si="0"/>
        <v>50000</v>
      </c>
      <c r="C10" s="33" t="s">
        <v>25</v>
      </c>
      <c r="D10" s="34" t="s">
        <v>21</v>
      </c>
      <c r="E10" s="33">
        <v>0</v>
      </c>
      <c r="F10" s="33">
        <v>0</v>
      </c>
      <c r="G10" s="35">
        <v>50000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/>
      <c r="O10" s="36">
        <f>SUM(G10:N10)</f>
        <v>50000</v>
      </c>
      <c r="P10" s="36">
        <v>57505</v>
      </c>
      <c r="Q10" s="36">
        <v>22000</v>
      </c>
      <c r="R10" s="37">
        <f t="shared" si="1"/>
        <v>-35505</v>
      </c>
      <c r="S10" s="32"/>
    </row>
    <row r="11" spans="1:19" ht="15.75" thickBot="1" x14ac:dyDescent="0.3">
      <c r="A11" s="32" t="s">
        <v>140</v>
      </c>
      <c r="B11" s="33">
        <f t="shared" si="0"/>
        <v>97718</v>
      </c>
      <c r="C11" s="33"/>
      <c r="D11" s="34"/>
      <c r="E11" s="33">
        <v>0</v>
      </c>
      <c r="F11" s="33">
        <v>0</v>
      </c>
      <c r="G11" s="320">
        <f>10000+30000+39300</f>
        <v>79300</v>
      </c>
      <c r="H11" s="35">
        <v>0</v>
      </c>
      <c r="I11" s="35">
        <v>0</v>
      </c>
      <c r="J11" s="35">
        <v>0</v>
      </c>
      <c r="K11" s="35">
        <v>3418</v>
      </c>
      <c r="L11" s="35">
        <v>6000</v>
      </c>
      <c r="M11" s="35">
        <v>0</v>
      </c>
      <c r="N11" s="35">
        <v>9000</v>
      </c>
      <c r="O11" s="36">
        <f t="shared" ref="O11" si="2">SUM(E11:N11)</f>
        <v>97718</v>
      </c>
      <c r="P11" s="36">
        <v>56303</v>
      </c>
      <c r="Q11" s="36">
        <v>33800</v>
      </c>
      <c r="R11" s="37">
        <f t="shared" si="1"/>
        <v>-22503</v>
      </c>
      <c r="S11" s="32"/>
    </row>
    <row r="12" spans="1:19" x14ac:dyDescent="0.25">
      <c r="A12" s="38" t="s">
        <v>26</v>
      </c>
      <c r="B12" s="39">
        <f t="shared" ref="B12" si="3">SUM(B8:B11)</f>
        <v>1966529</v>
      </c>
      <c r="C12" s="39"/>
      <c r="D12" s="40" t="s">
        <v>21</v>
      </c>
      <c r="E12" s="39">
        <f t="shared" ref="E12:N12" si="4">SUM(E8:E11)</f>
        <v>78000</v>
      </c>
      <c r="F12" s="39">
        <f t="shared" si="4"/>
        <v>0</v>
      </c>
      <c r="G12" s="39">
        <f>SUM(G8:G11)</f>
        <v>252678</v>
      </c>
      <c r="H12" s="39">
        <f t="shared" si="4"/>
        <v>40848</v>
      </c>
      <c r="I12" s="39">
        <f t="shared" si="4"/>
        <v>19536</v>
      </c>
      <c r="J12" s="39">
        <f t="shared" si="4"/>
        <v>46586</v>
      </c>
      <c r="K12" s="39">
        <f t="shared" si="4"/>
        <v>10124</v>
      </c>
      <c r="L12" s="39">
        <f t="shared" si="4"/>
        <v>396633</v>
      </c>
      <c r="M12" s="39">
        <f t="shared" si="4"/>
        <v>521414</v>
      </c>
      <c r="N12" s="39">
        <f t="shared" si="4"/>
        <v>600710</v>
      </c>
      <c r="O12" s="41">
        <f>SUM(E12:N12)</f>
        <v>1966529</v>
      </c>
      <c r="P12" s="41">
        <f>SUM(P8:P11)</f>
        <v>1903118</v>
      </c>
      <c r="Q12" s="41">
        <v>1739023</v>
      </c>
      <c r="R12" s="37">
        <f t="shared" si="1"/>
        <v>-164095</v>
      </c>
      <c r="S12" s="42">
        <f>R12/Q12*100</f>
        <v>-9.4360454117053081</v>
      </c>
    </row>
    <row r="13" spans="1:19" ht="15.75" thickBot="1" x14ac:dyDescent="0.3">
      <c r="A13" s="43" t="s">
        <v>27</v>
      </c>
      <c r="B13" s="44"/>
      <c r="C13" s="44"/>
      <c r="D13" s="45"/>
      <c r="E13" s="46"/>
      <c r="F13" s="47">
        <f>SUM(G13:N13)</f>
        <v>100</v>
      </c>
      <c r="G13" s="47">
        <v>13</v>
      </c>
      <c r="H13" s="47">
        <v>3</v>
      </c>
      <c r="I13" s="309">
        <v>0</v>
      </c>
      <c r="J13" s="47">
        <v>4</v>
      </c>
      <c r="K13" s="47">
        <v>1</v>
      </c>
      <c r="L13" s="47">
        <v>18</v>
      </c>
      <c r="M13" s="47">
        <v>29</v>
      </c>
      <c r="N13" s="47">
        <v>32</v>
      </c>
      <c r="O13" s="44"/>
      <c r="P13" s="44"/>
      <c r="Q13" s="44"/>
      <c r="R13" s="48"/>
      <c r="S13" s="49"/>
    </row>
    <row r="14" spans="1:19" ht="15.75" thickBot="1" x14ac:dyDescent="0.3">
      <c r="A14" s="50" t="s">
        <v>28</v>
      </c>
      <c r="B14" s="51">
        <v>454186</v>
      </c>
      <c r="C14" s="51" t="s">
        <v>29</v>
      </c>
      <c r="D14" s="52" t="s">
        <v>30</v>
      </c>
      <c r="E14" s="51">
        <v>204412</v>
      </c>
      <c r="F14" s="51">
        <v>13500</v>
      </c>
      <c r="G14" s="53">
        <v>27192</v>
      </c>
      <c r="H14" s="53">
        <v>15810</v>
      </c>
      <c r="I14" s="53">
        <v>0</v>
      </c>
      <c r="J14" s="53">
        <v>35711</v>
      </c>
      <c r="K14" s="53">
        <v>2964</v>
      </c>
      <c r="L14" s="53">
        <v>44263</v>
      </c>
      <c r="M14" s="53">
        <v>36834</v>
      </c>
      <c r="N14" s="53">
        <v>71078</v>
      </c>
      <c r="O14" s="54">
        <f>SUM(E14:N14)</f>
        <v>451764</v>
      </c>
      <c r="P14" s="54">
        <v>398510</v>
      </c>
      <c r="Q14" s="54">
        <v>449594</v>
      </c>
      <c r="R14" s="37">
        <f>Q14-P14</f>
        <v>51084</v>
      </c>
      <c r="S14" s="55"/>
    </row>
    <row r="15" spans="1:19" ht="15.75" thickBot="1" x14ac:dyDescent="0.3">
      <c r="A15" s="56" t="s">
        <v>31</v>
      </c>
      <c r="B15" s="57">
        <v>24546</v>
      </c>
      <c r="C15" s="57"/>
      <c r="D15" s="58"/>
      <c r="E15" s="57">
        <v>14177</v>
      </c>
      <c r="F15" s="57">
        <v>0</v>
      </c>
      <c r="G15" s="59">
        <v>74</v>
      </c>
      <c r="H15" s="59">
        <v>1140</v>
      </c>
      <c r="I15" s="59">
        <v>0</v>
      </c>
      <c r="J15" s="59">
        <v>505</v>
      </c>
      <c r="K15" s="59">
        <v>4</v>
      </c>
      <c r="L15" s="59">
        <v>3183</v>
      </c>
      <c r="M15" s="59">
        <v>2435</v>
      </c>
      <c r="N15" s="59">
        <v>4794</v>
      </c>
      <c r="O15" s="60">
        <f t="shared" ref="O15:O16" si="5">SUM(E15:N15)</f>
        <v>26312</v>
      </c>
      <c r="P15" s="60">
        <v>25527</v>
      </c>
      <c r="Q15" s="60">
        <v>29528</v>
      </c>
      <c r="R15" s="37">
        <f t="shared" ref="R15:R20" si="6">Q15-P15</f>
        <v>4001</v>
      </c>
      <c r="S15" s="61"/>
    </row>
    <row r="16" spans="1:19" ht="15.75" thickBot="1" x14ac:dyDescent="0.3">
      <c r="A16" s="56" t="s">
        <v>32</v>
      </c>
      <c r="B16" s="57">
        <v>41281</v>
      </c>
      <c r="C16" s="57"/>
      <c r="D16" s="58"/>
      <c r="E16" s="57">
        <v>17652</v>
      </c>
      <c r="F16" s="57">
        <v>1870</v>
      </c>
      <c r="G16" s="59">
        <v>2596</v>
      </c>
      <c r="H16" s="59">
        <v>1357</v>
      </c>
      <c r="I16" s="59">
        <f t="shared" ref="I16" si="7">I14*0.0765</f>
        <v>0</v>
      </c>
      <c r="J16" s="59">
        <v>3235</v>
      </c>
      <c r="K16" s="59">
        <v>407</v>
      </c>
      <c r="L16" s="59">
        <v>3811</v>
      </c>
      <c r="M16" s="59">
        <v>3129</v>
      </c>
      <c r="N16" s="59">
        <v>6055</v>
      </c>
      <c r="O16" s="60">
        <f t="shared" si="5"/>
        <v>40112</v>
      </c>
      <c r="P16" s="60">
        <v>41947</v>
      </c>
      <c r="Q16" s="60">
        <v>40514.621499999994</v>
      </c>
      <c r="R16" s="37">
        <f t="shared" si="6"/>
        <v>-1432.3785000000062</v>
      </c>
      <c r="S16" s="61"/>
    </row>
    <row r="17" spans="1:19" ht="15.75" thickBot="1" x14ac:dyDescent="0.3">
      <c r="A17" s="56" t="s">
        <v>33</v>
      </c>
      <c r="B17" s="57">
        <v>111434</v>
      </c>
      <c r="C17" s="57"/>
      <c r="D17" s="58"/>
      <c r="E17" s="60">
        <v>71314</v>
      </c>
      <c r="F17" s="60">
        <v>0</v>
      </c>
      <c r="G17" s="60">
        <v>433</v>
      </c>
      <c r="H17" s="60">
        <v>6868</v>
      </c>
      <c r="I17" s="60">
        <v>0</v>
      </c>
      <c r="J17" s="60">
        <v>3108</v>
      </c>
      <c r="K17" s="60">
        <v>24</v>
      </c>
      <c r="L17" s="60">
        <v>19275</v>
      </c>
      <c r="M17" s="60">
        <v>14582</v>
      </c>
      <c r="N17" s="60">
        <v>28759</v>
      </c>
      <c r="O17" s="60">
        <f>SUM(E17:N17)</f>
        <v>144363</v>
      </c>
      <c r="P17" s="60">
        <v>109972</v>
      </c>
      <c r="Q17" s="60">
        <v>119811</v>
      </c>
      <c r="R17" s="37">
        <f t="shared" si="6"/>
        <v>9839</v>
      </c>
      <c r="S17" s="61"/>
    </row>
    <row r="18" spans="1:19" ht="15.75" thickBot="1" x14ac:dyDescent="0.3">
      <c r="A18" s="56" t="s">
        <v>34</v>
      </c>
      <c r="B18" s="57">
        <v>31028</v>
      </c>
      <c r="C18" s="57"/>
      <c r="D18" s="58"/>
      <c r="E18" s="323">
        <v>3625</v>
      </c>
      <c r="F18" s="57">
        <v>85</v>
      </c>
      <c r="G18" s="59">
        <v>4904</v>
      </c>
      <c r="H18" s="59">
        <v>1376</v>
      </c>
      <c r="I18" s="59">
        <v>0</v>
      </c>
      <c r="J18" s="59">
        <v>3088</v>
      </c>
      <c r="K18" s="59">
        <v>21</v>
      </c>
      <c r="L18" s="59">
        <v>3840</v>
      </c>
      <c r="M18" s="59">
        <v>3281</v>
      </c>
      <c r="N18" s="59">
        <v>6128</v>
      </c>
      <c r="O18" s="60">
        <f>SUM(E18:N18)</f>
        <v>26348</v>
      </c>
      <c r="P18" s="60">
        <v>28589</v>
      </c>
      <c r="Q18" s="60">
        <v>32096</v>
      </c>
      <c r="R18" s="37">
        <f t="shared" si="6"/>
        <v>3507</v>
      </c>
      <c r="S18" s="61"/>
    </row>
    <row r="19" spans="1:19" ht="15.75" thickBot="1" x14ac:dyDescent="0.3">
      <c r="A19" s="56" t="s">
        <v>35</v>
      </c>
      <c r="B19" s="57">
        <v>30790</v>
      </c>
      <c r="C19" s="57"/>
      <c r="D19" s="58"/>
      <c r="E19" s="36">
        <v>42945</v>
      </c>
      <c r="F19" s="60">
        <v>0</v>
      </c>
      <c r="G19" s="60" t="s">
        <v>30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f>SUM(E19:N19)</f>
        <v>42945</v>
      </c>
      <c r="P19" s="60">
        <v>30790</v>
      </c>
      <c r="Q19" s="60">
        <v>30790</v>
      </c>
      <c r="R19" s="37">
        <f t="shared" si="6"/>
        <v>0</v>
      </c>
      <c r="S19" s="61"/>
    </row>
    <row r="20" spans="1:19" x14ac:dyDescent="0.25">
      <c r="A20" s="56" t="s">
        <v>36</v>
      </c>
      <c r="B20" s="57">
        <v>222819</v>
      </c>
      <c r="C20" s="57"/>
      <c r="D20" s="58"/>
      <c r="E20" s="308">
        <v>241900</v>
      </c>
      <c r="F20" s="57">
        <v>0</v>
      </c>
      <c r="G20" s="63">
        <v>0</v>
      </c>
      <c r="H20" s="63">
        <v>0</v>
      </c>
      <c r="I20" s="84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0">
        <f>SUM(E20:N20)</f>
        <v>241900</v>
      </c>
      <c r="P20" s="60">
        <v>269238</v>
      </c>
      <c r="Q20" s="60">
        <v>230834</v>
      </c>
      <c r="R20" s="37">
        <f t="shared" si="6"/>
        <v>-38404</v>
      </c>
      <c r="S20" s="61"/>
    </row>
    <row r="21" spans="1:19" ht="15.75" thickBot="1" x14ac:dyDescent="0.3">
      <c r="A21" s="213" t="s">
        <v>37</v>
      </c>
      <c r="B21" s="324">
        <f t="shared" ref="B21" si="8">SUM(B14:B20)</f>
        <v>916084</v>
      </c>
      <c r="C21" s="324"/>
      <c r="D21" s="325"/>
      <c r="E21" s="324">
        <f t="shared" ref="E21:N21" si="9">SUM(E14:E20)</f>
        <v>596025</v>
      </c>
      <c r="F21" s="324">
        <f>SUM(F14:F20)</f>
        <v>15455</v>
      </c>
      <c r="G21" s="324">
        <f>SUM(G14:G20)</f>
        <v>35199</v>
      </c>
      <c r="H21" s="324">
        <f t="shared" si="9"/>
        <v>26551</v>
      </c>
      <c r="I21" s="324">
        <v>0</v>
      </c>
      <c r="J21" s="324">
        <f t="shared" si="9"/>
        <v>45647</v>
      </c>
      <c r="K21" s="324">
        <f t="shared" si="9"/>
        <v>3420</v>
      </c>
      <c r="L21" s="324">
        <f t="shared" si="9"/>
        <v>74372</v>
      </c>
      <c r="M21" s="324">
        <f t="shared" si="9"/>
        <v>60261</v>
      </c>
      <c r="N21" s="324">
        <f t="shared" si="9"/>
        <v>116814</v>
      </c>
      <c r="O21" s="64">
        <f>SUM(E21:N21)</f>
        <v>973744</v>
      </c>
      <c r="P21" s="64">
        <f>SUM(P14:P20)</f>
        <v>904573</v>
      </c>
      <c r="Q21" s="64">
        <v>933167.62150000001</v>
      </c>
      <c r="R21" s="65">
        <f t="shared" ref="R21" si="10">+O21-Q21</f>
        <v>40576.378499999992</v>
      </c>
      <c r="S21" s="66">
        <f>R21/Q21*100</f>
        <v>4.3482411482276229</v>
      </c>
    </row>
    <row r="22" spans="1:19" ht="15.75" thickBot="1" x14ac:dyDescent="0.3">
      <c r="A22" s="67"/>
      <c r="B22" s="68"/>
      <c r="C22" s="68"/>
      <c r="D22" s="69"/>
      <c r="E22" s="68"/>
      <c r="F22" s="70"/>
      <c r="G22" s="70"/>
      <c r="H22" s="70"/>
      <c r="I22" s="310"/>
      <c r="J22" s="70"/>
      <c r="K22" s="70"/>
      <c r="L22" s="70"/>
      <c r="M22" s="70"/>
      <c r="N22" s="70"/>
      <c r="O22" s="71">
        <f>SUM(O14:O20)</f>
        <v>973744</v>
      </c>
      <c r="P22" s="71"/>
      <c r="Q22" s="71">
        <v>933167.62150000001</v>
      </c>
      <c r="R22" s="72">
        <f>SUM(R14:R20)</f>
        <v>28594.621499999994</v>
      </c>
      <c r="S22" s="67"/>
    </row>
    <row r="23" spans="1:19" ht="15.75" thickBot="1" x14ac:dyDescent="0.3">
      <c r="A23" s="50" t="s">
        <v>38</v>
      </c>
      <c r="B23" s="51">
        <f>SUM(E23:N23)</f>
        <v>83018</v>
      </c>
      <c r="C23" s="51"/>
      <c r="D23" s="52" t="s">
        <v>21</v>
      </c>
      <c r="E23" s="91">
        <v>35762</v>
      </c>
      <c r="F23" s="91">
        <v>0</v>
      </c>
      <c r="G23" s="82">
        <v>10452</v>
      </c>
      <c r="H23" s="82">
        <v>3049</v>
      </c>
      <c r="I23" s="82">
        <v>0</v>
      </c>
      <c r="J23" s="82">
        <v>3004</v>
      </c>
      <c r="K23" s="82">
        <v>251</v>
      </c>
      <c r="L23" s="82">
        <v>8000</v>
      </c>
      <c r="M23" s="82">
        <v>7600</v>
      </c>
      <c r="N23" s="82">
        <v>14900</v>
      </c>
      <c r="O23" s="54">
        <f>SUM(E23:N23)</f>
        <v>83018</v>
      </c>
      <c r="P23" s="54">
        <v>79330</v>
      </c>
      <c r="Q23" s="54">
        <v>79564.320000000007</v>
      </c>
      <c r="R23" s="37">
        <f t="shared" ref="R23:R41" si="11">Q23-P23</f>
        <v>234.32000000000698</v>
      </c>
      <c r="S23" s="55"/>
    </row>
    <row r="24" spans="1:19" ht="15.75" thickBot="1" x14ac:dyDescent="0.3">
      <c r="A24" s="56" t="s">
        <v>39</v>
      </c>
      <c r="B24" s="57">
        <v>10280</v>
      </c>
      <c r="C24" s="57"/>
      <c r="D24" s="58"/>
      <c r="E24" s="57">
        <v>5295</v>
      </c>
      <c r="F24" s="57">
        <v>0</v>
      </c>
      <c r="G24" s="63">
        <v>4800</v>
      </c>
      <c r="H24" s="63">
        <v>0</v>
      </c>
      <c r="I24" s="84">
        <v>0</v>
      </c>
      <c r="J24" s="63">
        <v>0</v>
      </c>
      <c r="K24" s="63">
        <v>0</v>
      </c>
      <c r="L24" s="63">
        <v>0</v>
      </c>
      <c r="M24" s="63">
        <v>380</v>
      </c>
      <c r="N24" s="63">
        <v>480</v>
      </c>
      <c r="O24" s="54">
        <f t="shared" ref="O24:O40" si="12">SUM(E24:N24)</f>
        <v>10955</v>
      </c>
      <c r="P24" s="60">
        <v>10533</v>
      </c>
      <c r="Q24" s="60">
        <v>7240</v>
      </c>
      <c r="R24" s="37">
        <f t="shared" si="11"/>
        <v>-3293</v>
      </c>
      <c r="S24" s="61"/>
    </row>
    <row r="25" spans="1:19" ht="15.75" thickBot="1" x14ac:dyDescent="0.3">
      <c r="A25" s="56" t="s">
        <v>40</v>
      </c>
      <c r="B25" s="57">
        <v>200</v>
      </c>
      <c r="C25" s="57"/>
      <c r="D25" s="58" t="s">
        <v>21</v>
      </c>
      <c r="E25" s="57">
        <v>50</v>
      </c>
      <c r="F25" s="57">
        <v>0</v>
      </c>
      <c r="G25" s="63">
        <v>0</v>
      </c>
      <c r="H25" s="63">
        <v>0</v>
      </c>
      <c r="I25" s="84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54">
        <f t="shared" si="12"/>
        <v>50</v>
      </c>
      <c r="P25" s="60">
        <v>39</v>
      </c>
      <c r="Q25" s="60">
        <v>800</v>
      </c>
      <c r="R25" s="37">
        <f t="shared" si="11"/>
        <v>761</v>
      </c>
      <c r="S25" s="61"/>
    </row>
    <row r="26" spans="1:19" ht="15.75" thickBot="1" x14ac:dyDescent="0.3">
      <c r="A26" s="56" t="s">
        <v>41</v>
      </c>
      <c r="B26" s="57">
        <v>5500</v>
      </c>
      <c r="C26" s="57" t="s">
        <v>42</v>
      </c>
      <c r="D26" s="58" t="s">
        <v>21</v>
      </c>
      <c r="E26" s="57">
        <v>1600</v>
      </c>
      <c r="F26" s="57">
        <v>1000</v>
      </c>
      <c r="G26" s="63">
        <v>1000</v>
      </c>
      <c r="H26" s="63">
        <v>0</v>
      </c>
      <c r="I26" s="84">
        <v>0</v>
      </c>
      <c r="J26" s="63">
        <v>0</v>
      </c>
      <c r="K26" s="63">
        <v>0</v>
      </c>
      <c r="L26" s="63">
        <v>800</v>
      </c>
      <c r="M26" s="63">
        <v>400</v>
      </c>
      <c r="N26" s="63">
        <v>1400</v>
      </c>
      <c r="O26" s="54">
        <f t="shared" si="12"/>
        <v>6200</v>
      </c>
      <c r="P26" s="60">
        <v>4423</v>
      </c>
      <c r="Q26" s="60">
        <v>4100</v>
      </c>
      <c r="R26" s="37">
        <f t="shared" si="11"/>
        <v>-323</v>
      </c>
      <c r="S26" s="73"/>
    </row>
    <row r="27" spans="1:19" ht="15.75" thickBot="1" x14ac:dyDescent="0.3">
      <c r="A27" s="56" t="s">
        <v>43</v>
      </c>
      <c r="B27" s="57">
        <v>400</v>
      </c>
      <c r="C27" s="57"/>
      <c r="D27" s="58" t="s">
        <v>21</v>
      </c>
      <c r="E27" s="57">
        <v>400</v>
      </c>
      <c r="F27" s="57">
        <v>0</v>
      </c>
      <c r="G27" s="63">
        <v>3000</v>
      </c>
      <c r="H27" s="63">
        <v>100</v>
      </c>
      <c r="I27" s="84">
        <v>0</v>
      </c>
      <c r="J27" s="63">
        <v>200</v>
      </c>
      <c r="K27" s="63">
        <v>300</v>
      </c>
      <c r="L27" s="63">
        <v>200</v>
      </c>
      <c r="M27" s="63">
        <v>200</v>
      </c>
      <c r="N27" s="63">
        <v>200</v>
      </c>
      <c r="O27" s="54">
        <f t="shared" si="12"/>
        <v>4600</v>
      </c>
      <c r="P27" s="60">
        <v>4220</v>
      </c>
      <c r="Q27" s="60">
        <v>3600</v>
      </c>
      <c r="R27" s="37">
        <f t="shared" si="11"/>
        <v>-620</v>
      </c>
      <c r="S27" s="73"/>
    </row>
    <row r="28" spans="1:19" ht="15.75" thickBot="1" x14ac:dyDescent="0.3">
      <c r="A28" s="56" t="s">
        <v>44</v>
      </c>
      <c r="B28" s="57">
        <v>14000</v>
      </c>
      <c r="C28" s="57" t="s">
        <v>45</v>
      </c>
      <c r="D28" s="58" t="s">
        <v>21</v>
      </c>
      <c r="E28" s="57">
        <v>1600</v>
      </c>
      <c r="F28" s="57">
        <v>2500</v>
      </c>
      <c r="G28" s="63">
        <v>4000</v>
      </c>
      <c r="H28" s="63">
        <v>0</v>
      </c>
      <c r="I28" s="84">
        <v>0</v>
      </c>
      <c r="J28" s="63">
        <v>100</v>
      </c>
      <c r="K28" s="63">
        <v>0</v>
      </c>
      <c r="L28" s="63">
        <v>500</v>
      </c>
      <c r="M28" s="63">
        <v>1500</v>
      </c>
      <c r="N28" s="63">
        <v>1500</v>
      </c>
      <c r="O28" s="54">
        <f t="shared" si="12"/>
        <v>11700</v>
      </c>
      <c r="P28" s="60">
        <v>1561</v>
      </c>
      <c r="Q28" s="60">
        <v>8500</v>
      </c>
      <c r="R28" s="37">
        <f t="shared" si="11"/>
        <v>6939</v>
      </c>
      <c r="S28" s="61"/>
    </row>
    <row r="29" spans="1:19" ht="15.75" thickBot="1" x14ac:dyDescent="0.3">
      <c r="A29" s="56" t="s">
        <v>46</v>
      </c>
      <c r="B29" s="57">
        <v>2100</v>
      </c>
      <c r="C29" s="57"/>
      <c r="D29" s="58" t="s">
        <v>21</v>
      </c>
      <c r="E29" s="57">
        <v>500</v>
      </c>
      <c r="F29" s="57">
        <v>0</v>
      </c>
      <c r="G29" s="63">
        <v>2400</v>
      </c>
      <c r="H29" s="63">
        <v>200</v>
      </c>
      <c r="I29" s="84">
        <v>0</v>
      </c>
      <c r="J29" s="63">
        <v>0</v>
      </c>
      <c r="K29" s="63">
        <v>0</v>
      </c>
      <c r="L29" s="63">
        <v>400</v>
      </c>
      <c r="M29" s="63">
        <v>450</v>
      </c>
      <c r="N29" s="63">
        <v>450</v>
      </c>
      <c r="O29" s="54">
        <f t="shared" si="12"/>
        <v>4400</v>
      </c>
      <c r="P29" s="60">
        <v>3221</v>
      </c>
      <c r="Q29" s="60">
        <v>2100</v>
      </c>
      <c r="R29" s="37">
        <f t="shared" si="11"/>
        <v>-1121</v>
      </c>
      <c r="S29" s="61"/>
    </row>
    <row r="30" spans="1:19" ht="15.75" thickBot="1" x14ac:dyDescent="0.3">
      <c r="A30" s="56" t="s">
        <v>47</v>
      </c>
      <c r="B30" s="57">
        <v>4100</v>
      </c>
      <c r="C30" s="57"/>
      <c r="D30" s="58" t="s">
        <v>21</v>
      </c>
      <c r="E30" s="57">
        <v>900</v>
      </c>
      <c r="F30" s="57">
        <v>0</v>
      </c>
      <c r="G30" s="63">
        <v>1000</v>
      </c>
      <c r="H30" s="63">
        <v>400</v>
      </c>
      <c r="I30" s="84">
        <v>0</v>
      </c>
      <c r="J30" s="63">
        <v>400</v>
      </c>
      <c r="K30" s="63">
        <v>0</v>
      </c>
      <c r="L30" s="63">
        <v>600</v>
      </c>
      <c r="M30" s="63">
        <v>800</v>
      </c>
      <c r="N30" s="63">
        <v>800</v>
      </c>
      <c r="O30" s="54">
        <f t="shared" si="12"/>
        <v>4900</v>
      </c>
      <c r="P30" s="60">
        <v>2674</v>
      </c>
      <c r="Q30" s="60">
        <v>4000</v>
      </c>
      <c r="R30" s="37">
        <f t="shared" si="11"/>
        <v>1326</v>
      </c>
      <c r="S30" s="61"/>
    </row>
    <row r="31" spans="1:19" ht="15.75" thickBot="1" x14ac:dyDescent="0.3">
      <c r="A31" s="56" t="s">
        <v>48</v>
      </c>
      <c r="B31" s="57">
        <v>3600</v>
      </c>
      <c r="C31" s="57" t="s">
        <v>49</v>
      </c>
      <c r="D31" s="58"/>
      <c r="E31" s="57">
        <v>5000</v>
      </c>
      <c r="F31" s="57">
        <v>0</v>
      </c>
      <c r="G31" s="63">
        <v>500</v>
      </c>
      <c r="H31" s="63">
        <v>0</v>
      </c>
      <c r="I31" s="84">
        <v>0</v>
      </c>
      <c r="J31" s="63">
        <v>0</v>
      </c>
      <c r="K31" s="63">
        <v>0</v>
      </c>
      <c r="L31" s="63">
        <v>0</v>
      </c>
      <c r="M31" s="63">
        <v>500</v>
      </c>
      <c r="N31" s="63">
        <v>600</v>
      </c>
      <c r="O31" s="54">
        <f t="shared" si="12"/>
        <v>6600</v>
      </c>
      <c r="P31" s="60">
        <v>8833</v>
      </c>
      <c r="Q31" s="60">
        <v>4350</v>
      </c>
      <c r="R31" s="37">
        <f t="shared" si="11"/>
        <v>-4483</v>
      </c>
      <c r="S31" s="61"/>
    </row>
    <row r="32" spans="1:19" ht="15.75" thickBot="1" x14ac:dyDescent="0.3">
      <c r="A32" s="56" t="s">
        <v>128</v>
      </c>
      <c r="B32" s="57"/>
      <c r="C32" s="57"/>
      <c r="D32" s="58"/>
      <c r="E32" s="316"/>
      <c r="F32" s="316"/>
      <c r="G32" s="63">
        <v>15600</v>
      </c>
      <c r="H32" s="317"/>
      <c r="I32" s="322"/>
      <c r="J32" s="317"/>
      <c r="K32" s="317"/>
      <c r="L32" s="317"/>
      <c r="M32" s="317"/>
      <c r="N32" s="317"/>
      <c r="O32" s="318"/>
      <c r="P32" s="319">
        <v>6570</v>
      </c>
      <c r="Q32" s="319"/>
      <c r="R32" s="37">
        <f t="shared" si="11"/>
        <v>-6570</v>
      </c>
      <c r="S32" s="61"/>
    </row>
    <row r="33" spans="1:19" ht="15.75" thickBot="1" x14ac:dyDescent="0.3">
      <c r="A33" s="56" t="s">
        <v>50</v>
      </c>
      <c r="B33" s="57">
        <v>6500</v>
      </c>
      <c r="C33" s="57"/>
      <c r="D33" s="58" t="s">
        <v>21</v>
      </c>
      <c r="E33" s="57">
        <v>6600</v>
      </c>
      <c r="F33" s="57">
        <v>0</v>
      </c>
      <c r="G33" s="63">
        <v>0</v>
      </c>
      <c r="H33" s="63">
        <v>0</v>
      </c>
      <c r="I33" s="84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54">
        <f t="shared" si="12"/>
        <v>6600</v>
      </c>
      <c r="P33" s="60">
        <v>6040</v>
      </c>
      <c r="Q33" s="60">
        <v>6600</v>
      </c>
      <c r="R33" s="37">
        <f t="shared" si="11"/>
        <v>560</v>
      </c>
      <c r="S33" s="61"/>
    </row>
    <row r="34" spans="1:19" ht="15.75" thickBot="1" x14ac:dyDescent="0.3">
      <c r="A34" s="56" t="s">
        <v>51</v>
      </c>
      <c r="B34" s="57">
        <v>18000</v>
      </c>
      <c r="C34" s="57"/>
      <c r="D34" s="58" t="s">
        <v>21</v>
      </c>
      <c r="E34" s="62">
        <v>12000</v>
      </c>
      <c r="F34" s="57">
        <v>0</v>
      </c>
      <c r="G34" s="63">
        <v>5000</v>
      </c>
      <c r="H34" s="63">
        <v>0</v>
      </c>
      <c r="I34" s="84">
        <v>0</v>
      </c>
      <c r="J34" s="63">
        <v>0</v>
      </c>
      <c r="K34" s="63">
        <v>0</v>
      </c>
      <c r="L34" s="63">
        <v>0</v>
      </c>
      <c r="M34" s="63">
        <v>0</v>
      </c>
      <c r="N34" s="63">
        <v>30000</v>
      </c>
      <c r="O34" s="54">
        <f t="shared" si="12"/>
        <v>47000</v>
      </c>
      <c r="P34" s="60">
        <v>6530</v>
      </c>
      <c r="Q34" s="60">
        <v>11300</v>
      </c>
      <c r="R34" s="37">
        <f t="shared" si="11"/>
        <v>4770</v>
      </c>
      <c r="S34" s="61"/>
    </row>
    <row r="35" spans="1:19" ht="15.75" thickBot="1" x14ac:dyDescent="0.3">
      <c r="A35" s="56" t="s">
        <v>122</v>
      </c>
      <c r="B35" s="57">
        <v>25000</v>
      </c>
      <c r="C35" s="57"/>
      <c r="D35" s="58" t="s">
        <v>21</v>
      </c>
      <c r="E35" s="62">
        <v>56670</v>
      </c>
      <c r="F35" s="57">
        <v>0</v>
      </c>
      <c r="G35" s="63">
        <v>0</v>
      </c>
      <c r="H35" s="63">
        <v>0</v>
      </c>
      <c r="I35" s="84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54">
        <f t="shared" si="12"/>
        <v>56670</v>
      </c>
      <c r="P35" s="60">
        <v>14350</v>
      </c>
      <c r="Q35" s="60">
        <v>25000</v>
      </c>
      <c r="R35" s="37">
        <f t="shared" si="11"/>
        <v>10650</v>
      </c>
      <c r="S35" s="61"/>
    </row>
    <row r="36" spans="1:19" ht="15.75" thickBot="1" x14ac:dyDescent="0.3">
      <c r="A36" s="56" t="s">
        <v>139</v>
      </c>
      <c r="B36" s="57">
        <v>9650</v>
      </c>
      <c r="C36" s="57" t="s">
        <v>52</v>
      </c>
      <c r="D36" s="58" t="s">
        <v>21</v>
      </c>
      <c r="E36" s="57">
        <v>7000</v>
      </c>
      <c r="F36" s="57">
        <v>0</v>
      </c>
      <c r="G36" s="63">
        <v>3600</v>
      </c>
      <c r="H36" s="63">
        <v>0</v>
      </c>
      <c r="I36" s="84">
        <v>0</v>
      </c>
      <c r="J36" s="63">
        <v>0</v>
      </c>
      <c r="K36" s="63">
        <v>0</v>
      </c>
      <c r="L36" s="63">
        <v>500</v>
      </c>
      <c r="M36" s="63">
        <v>18000</v>
      </c>
      <c r="N36" s="63">
        <v>4500</v>
      </c>
      <c r="O36" s="54">
        <f t="shared" si="12"/>
        <v>33600</v>
      </c>
      <c r="P36" s="60">
        <v>9496</v>
      </c>
      <c r="Q36" s="60">
        <v>11800</v>
      </c>
      <c r="R36" s="37">
        <f t="shared" si="11"/>
        <v>2304</v>
      </c>
      <c r="S36" s="61"/>
    </row>
    <row r="37" spans="1:19" ht="15.75" thickBot="1" x14ac:dyDescent="0.3">
      <c r="A37" s="56" t="s">
        <v>53</v>
      </c>
      <c r="B37" s="57">
        <v>8200</v>
      </c>
      <c r="C37" s="57" t="s">
        <v>54</v>
      </c>
      <c r="D37" s="58" t="s">
        <v>21</v>
      </c>
      <c r="E37" s="57">
        <v>0</v>
      </c>
      <c r="F37" s="57">
        <v>0</v>
      </c>
      <c r="G37" s="63">
        <v>4800</v>
      </c>
      <c r="H37" s="63">
        <v>0</v>
      </c>
      <c r="I37" s="84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54">
        <f t="shared" si="12"/>
        <v>4800</v>
      </c>
      <c r="P37" s="60">
        <v>5502</v>
      </c>
      <c r="Q37" s="60">
        <v>4200</v>
      </c>
      <c r="R37" s="37">
        <f t="shared" si="11"/>
        <v>-1302</v>
      </c>
      <c r="S37" s="61"/>
    </row>
    <row r="38" spans="1:19" ht="15.75" thickBot="1" x14ac:dyDescent="0.3">
      <c r="A38" s="56" t="s">
        <v>127</v>
      </c>
      <c r="B38" s="57">
        <v>13700</v>
      </c>
      <c r="C38" s="57" t="s">
        <v>55</v>
      </c>
      <c r="D38" s="58"/>
      <c r="E38" s="57">
        <v>23000</v>
      </c>
      <c r="F38" s="57">
        <v>0</v>
      </c>
      <c r="G38" s="63">
        <v>800</v>
      </c>
      <c r="H38" s="63">
        <v>0</v>
      </c>
      <c r="I38" s="84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54">
        <f t="shared" si="12"/>
        <v>23800</v>
      </c>
      <c r="P38" s="60">
        <v>20636</v>
      </c>
      <c r="Q38" s="60">
        <v>15855</v>
      </c>
      <c r="R38" s="37">
        <f t="shared" si="11"/>
        <v>-4781</v>
      </c>
      <c r="S38" s="61"/>
    </row>
    <row r="39" spans="1:19" ht="15.75" thickBot="1" x14ac:dyDescent="0.3">
      <c r="A39" s="56" t="s">
        <v>56</v>
      </c>
      <c r="B39" s="57">
        <v>1800</v>
      </c>
      <c r="C39" s="57" t="s">
        <v>57</v>
      </c>
      <c r="D39" s="58" t="s">
        <v>21</v>
      </c>
      <c r="E39" s="57">
        <v>1800</v>
      </c>
      <c r="F39" s="57">
        <v>0</v>
      </c>
      <c r="G39" s="63">
        <v>600</v>
      </c>
      <c r="H39" s="63">
        <v>0</v>
      </c>
      <c r="I39" s="84">
        <v>0</v>
      </c>
      <c r="J39" s="63">
        <v>100</v>
      </c>
      <c r="K39" s="63">
        <v>0</v>
      </c>
      <c r="L39" s="63">
        <v>0</v>
      </c>
      <c r="M39" s="63">
        <v>0</v>
      </c>
      <c r="N39" s="63">
        <v>1200</v>
      </c>
      <c r="O39" s="54">
        <f t="shared" si="12"/>
        <v>3700</v>
      </c>
      <c r="P39" s="60">
        <v>1218</v>
      </c>
      <c r="Q39" s="60">
        <v>1800</v>
      </c>
      <c r="R39" s="37">
        <f t="shared" si="11"/>
        <v>582</v>
      </c>
      <c r="S39" s="61"/>
    </row>
    <row r="40" spans="1:19" ht="15.75" thickBot="1" x14ac:dyDescent="0.3">
      <c r="A40" s="56" t="s">
        <v>58</v>
      </c>
      <c r="B40" s="57">
        <v>0</v>
      </c>
      <c r="C40" s="57"/>
      <c r="D40" s="58"/>
      <c r="E40" s="57"/>
      <c r="F40" s="57">
        <v>0</v>
      </c>
      <c r="G40" s="63">
        <v>0</v>
      </c>
      <c r="H40" s="63">
        <v>0</v>
      </c>
      <c r="I40" s="84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54">
        <f t="shared" si="12"/>
        <v>0</v>
      </c>
      <c r="P40" s="60">
        <v>55</v>
      </c>
      <c r="Q40" s="60">
        <v>800</v>
      </c>
      <c r="R40" s="37">
        <f t="shared" si="11"/>
        <v>745</v>
      </c>
      <c r="S40" s="61"/>
    </row>
    <row r="41" spans="1:19" ht="15.75" thickBot="1" x14ac:dyDescent="0.3">
      <c r="A41" s="213" t="s">
        <v>59</v>
      </c>
      <c r="B41" s="324">
        <f t="shared" ref="B41" si="13">SUM(B23:B40)</f>
        <v>206048</v>
      </c>
      <c r="C41" s="324"/>
      <c r="D41" s="325"/>
      <c r="E41" s="324">
        <f t="shared" ref="E41:K41" si="14">SUM(E23:E40)</f>
        <v>158177</v>
      </c>
      <c r="F41" s="324">
        <f t="shared" si="14"/>
        <v>3500</v>
      </c>
      <c r="G41" s="324">
        <f t="shared" si="14"/>
        <v>57552</v>
      </c>
      <c r="H41" s="324">
        <f t="shared" si="14"/>
        <v>3749</v>
      </c>
      <c r="I41" s="324">
        <f t="shared" si="14"/>
        <v>0</v>
      </c>
      <c r="J41" s="324">
        <f t="shared" si="14"/>
        <v>3804</v>
      </c>
      <c r="K41" s="324">
        <f t="shared" si="14"/>
        <v>551</v>
      </c>
      <c r="L41" s="324">
        <f t="shared" ref="L41" si="15">SUM(L23:L39)</f>
        <v>11000</v>
      </c>
      <c r="M41" s="324">
        <f>SUM(M23:M40)</f>
        <v>29830</v>
      </c>
      <c r="N41" s="324">
        <f>SUM(N23:N40)</f>
        <v>56030</v>
      </c>
      <c r="O41" s="64">
        <f>SUM(E41:N41)</f>
        <v>324193</v>
      </c>
      <c r="P41" s="64">
        <f>SUM(P23:P40)</f>
        <v>185231</v>
      </c>
      <c r="Q41" s="64">
        <v>191609.32</v>
      </c>
      <c r="R41" s="37">
        <f t="shared" si="11"/>
        <v>6378.320000000007</v>
      </c>
      <c r="S41" s="66">
        <f>R41/Q41*100</f>
        <v>3.3288151119162714</v>
      </c>
    </row>
    <row r="42" spans="1:19" x14ac:dyDescent="0.25">
      <c r="A42" s="50"/>
      <c r="B42" s="74">
        <v>1010</v>
      </c>
      <c r="C42" s="74"/>
      <c r="D42" s="74"/>
      <c r="E42" s="74">
        <v>1010</v>
      </c>
      <c r="F42" s="74">
        <v>1020</v>
      </c>
      <c r="G42" s="74">
        <v>1040</v>
      </c>
      <c r="H42" s="74">
        <v>1050</v>
      </c>
      <c r="I42" s="312">
        <v>1060</v>
      </c>
      <c r="J42" s="74">
        <v>1070</v>
      </c>
      <c r="K42" s="74">
        <v>1080</v>
      </c>
      <c r="L42" s="74">
        <v>1090</v>
      </c>
      <c r="M42" s="74">
        <v>2000</v>
      </c>
      <c r="N42" s="74">
        <v>3000</v>
      </c>
      <c r="O42" s="75"/>
      <c r="P42" s="75"/>
      <c r="Q42" s="75"/>
      <c r="R42" s="37"/>
      <c r="S42" s="55"/>
    </row>
    <row r="43" spans="1:19" ht="15.75" thickBot="1" x14ac:dyDescent="0.3">
      <c r="A43" s="76"/>
      <c r="B43" s="77" t="s">
        <v>4</v>
      </c>
      <c r="C43" s="77"/>
      <c r="D43" s="77"/>
      <c r="E43" s="77" t="s">
        <v>5</v>
      </c>
      <c r="F43" s="77" t="s">
        <v>6</v>
      </c>
      <c r="G43" s="77" t="s">
        <v>7</v>
      </c>
      <c r="H43" s="77" t="s">
        <v>8</v>
      </c>
      <c r="I43" s="313" t="s">
        <v>9</v>
      </c>
      <c r="J43" s="77" t="s">
        <v>10</v>
      </c>
      <c r="K43" s="77" t="s">
        <v>11</v>
      </c>
      <c r="L43" s="77" t="s">
        <v>12</v>
      </c>
      <c r="M43" s="77" t="s">
        <v>13</v>
      </c>
      <c r="N43" s="77" t="s">
        <v>14</v>
      </c>
      <c r="O43" s="78" t="s">
        <v>60</v>
      </c>
      <c r="P43" s="78" t="s">
        <v>60</v>
      </c>
      <c r="Q43" s="78" t="s">
        <v>60</v>
      </c>
      <c r="R43" s="79" t="s">
        <v>17</v>
      </c>
      <c r="S43" s="80"/>
    </row>
    <row r="44" spans="1:19" ht="15.75" thickBot="1" x14ac:dyDescent="0.3">
      <c r="A44" s="50" t="s">
        <v>123</v>
      </c>
      <c r="B44" s="51">
        <v>34150</v>
      </c>
      <c r="C44" s="51"/>
      <c r="D44" s="52" t="s">
        <v>21</v>
      </c>
      <c r="E44" s="51">
        <v>3000</v>
      </c>
      <c r="F44" s="51">
        <v>0</v>
      </c>
      <c r="G44" s="82">
        <v>6000</v>
      </c>
      <c r="H44" s="81">
        <v>2000</v>
      </c>
      <c r="I44" s="82">
        <v>0</v>
      </c>
      <c r="J44" s="81">
        <v>1200</v>
      </c>
      <c r="K44" s="81">
        <v>200</v>
      </c>
      <c r="L44" s="81">
        <v>1000</v>
      </c>
      <c r="M44" s="82">
        <v>8500</v>
      </c>
      <c r="N44" s="81">
        <v>11000</v>
      </c>
      <c r="O44" s="54">
        <f>SUM(E44:N44)</f>
        <v>32900</v>
      </c>
      <c r="P44" s="54">
        <v>12566</v>
      </c>
      <c r="Q44" s="54">
        <v>26000</v>
      </c>
      <c r="R44" s="37">
        <f t="shared" ref="R44:R68" si="16">Q44-P44</f>
        <v>13434</v>
      </c>
      <c r="S44" s="83"/>
    </row>
    <row r="45" spans="1:19" ht="15.75" thickBot="1" x14ac:dyDescent="0.3">
      <c r="A45" s="56" t="s">
        <v>61</v>
      </c>
      <c r="B45" s="57">
        <v>5400</v>
      </c>
      <c r="C45" s="57"/>
      <c r="D45" s="58" t="s">
        <v>21</v>
      </c>
      <c r="E45" s="57">
        <v>4800</v>
      </c>
      <c r="F45" s="57">
        <v>600</v>
      </c>
      <c r="G45" s="63">
        <v>200</v>
      </c>
      <c r="H45" s="63">
        <v>0</v>
      </c>
      <c r="I45" s="84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54">
        <f t="shared" ref="O45:O55" si="17">SUM(E45:N45)</f>
        <v>5600</v>
      </c>
      <c r="P45" s="60">
        <v>4034</v>
      </c>
      <c r="Q45" s="60">
        <v>6140</v>
      </c>
      <c r="R45" s="37">
        <f t="shared" si="16"/>
        <v>2106</v>
      </c>
      <c r="S45" s="61"/>
    </row>
    <row r="46" spans="1:19" ht="15.75" thickBot="1" x14ac:dyDescent="0.3">
      <c r="A46" s="56" t="s">
        <v>62</v>
      </c>
      <c r="B46" s="57">
        <v>5160</v>
      </c>
      <c r="C46" s="57"/>
      <c r="D46" s="58" t="s">
        <v>21</v>
      </c>
      <c r="E46" s="57">
        <v>4200</v>
      </c>
      <c r="F46" s="57">
        <v>0</v>
      </c>
      <c r="G46" s="63">
        <v>0</v>
      </c>
      <c r="H46" s="63">
        <v>0</v>
      </c>
      <c r="I46" s="84">
        <v>0</v>
      </c>
      <c r="J46" s="63">
        <v>0</v>
      </c>
      <c r="K46" s="63">
        <v>0</v>
      </c>
      <c r="L46" s="63"/>
      <c r="M46" s="63">
        <v>0</v>
      </c>
      <c r="N46" s="63">
        <v>1000</v>
      </c>
      <c r="O46" s="54">
        <f t="shared" si="17"/>
        <v>5200</v>
      </c>
      <c r="P46" s="60">
        <v>3045</v>
      </c>
      <c r="Q46" s="60">
        <v>5450</v>
      </c>
      <c r="R46" s="37">
        <f t="shared" si="16"/>
        <v>2405</v>
      </c>
      <c r="S46" s="61"/>
    </row>
    <row r="47" spans="1:19" ht="15.75" thickBot="1" x14ac:dyDescent="0.3">
      <c r="A47" s="56" t="s">
        <v>124</v>
      </c>
      <c r="B47" s="57">
        <v>2000</v>
      </c>
      <c r="C47" s="57"/>
      <c r="D47" s="58" t="s">
        <v>21</v>
      </c>
      <c r="E47" s="62">
        <v>1700</v>
      </c>
      <c r="F47" s="57">
        <v>0</v>
      </c>
      <c r="G47" s="279">
        <v>1400</v>
      </c>
      <c r="H47" s="63">
        <v>0</v>
      </c>
      <c r="I47" s="84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54">
        <f t="shared" si="17"/>
        <v>3100</v>
      </c>
      <c r="P47" s="60">
        <v>1598</v>
      </c>
      <c r="Q47" s="60">
        <v>6050</v>
      </c>
      <c r="R47" s="37">
        <f t="shared" si="16"/>
        <v>4452</v>
      </c>
      <c r="S47" s="61"/>
    </row>
    <row r="48" spans="1:19" ht="15.75" thickBot="1" x14ac:dyDescent="0.3">
      <c r="A48" s="56" t="s">
        <v>63</v>
      </c>
      <c r="B48" s="57">
        <v>800</v>
      </c>
      <c r="C48" s="57"/>
      <c r="D48" s="58" t="s">
        <v>21</v>
      </c>
      <c r="E48" s="57">
        <v>1000</v>
      </c>
      <c r="F48" s="57">
        <v>0</v>
      </c>
      <c r="G48" s="63">
        <v>200</v>
      </c>
      <c r="H48" s="63">
        <v>0</v>
      </c>
      <c r="I48" s="84">
        <v>0</v>
      </c>
      <c r="J48" s="63">
        <v>700</v>
      </c>
      <c r="K48" s="63">
        <v>200</v>
      </c>
      <c r="L48" s="63">
        <v>0</v>
      </c>
      <c r="M48" s="63">
        <v>0</v>
      </c>
      <c r="N48" s="63">
        <v>0</v>
      </c>
      <c r="O48" s="54">
        <f t="shared" si="17"/>
        <v>2100</v>
      </c>
      <c r="P48" s="60"/>
      <c r="Q48" s="60">
        <v>450</v>
      </c>
      <c r="R48" s="37">
        <f t="shared" si="16"/>
        <v>450</v>
      </c>
      <c r="S48" s="61"/>
    </row>
    <row r="49" spans="1:19" ht="15.75" thickBot="1" x14ac:dyDescent="0.3">
      <c r="A49" s="56" t="s">
        <v>64</v>
      </c>
      <c r="B49" s="57">
        <v>29000</v>
      </c>
      <c r="C49" s="57"/>
      <c r="D49" s="58" t="s">
        <v>21</v>
      </c>
      <c r="E49" s="57">
        <v>6600</v>
      </c>
      <c r="F49" s="57">
        <v>0</v>
      </c>
      <c r="G49" s="63">
        <v>3900</v>
      </c>
      <c r="H49" s="63">
        <v>1200</v>
      </c>
      <c r="I49" s="84">
        <v>0</v>
      </c>
      <c r="J49" s="63">
        <v>400</v>
      </c>
      <c r="K49" s="63">
        <v>0</v>
      </c>
      <c r="L49" s="63">
        <v>9000</v>
      </c>
      <c r="M49" s="63">
        <v>1000</v>
      </c>
      <c r="N49" s="63">
        <v>1000</v>
      </c>
      <c r="O49" s="54">
        <f t="shared" si="17"/>
        <v>23100</v>
      </c>
      <c r="P49" s="60">
        <v>12111</v>
      </c>
      <c r="Q49" s="60">
        <v>20200</v>
      </c>
      <c r="R49" s="37">
        <f t="shared" si="16"/>
        <v>8089</v>
      </c>
      <c r="S49" s="61"/>
    </row>
    <row r="50" spans="1:19" ht="15.75" thickBot="1" x14ac:dyDescent="0.3">
      <c r="A50" s="56" t="s">
        <v>65</v>
      </c>
      <c r="B50" s="57">
        <v>5800</v>
      </c>
      <c r="C50" s="57"/>
      <c r="D50" s="58"/>
      <c r="E50" s="57">
        <v>4200</v>
      </c>
      <c r="F50" s="57">
        <v>0</v>
      </c>
      <c r="G50" s="63">
        <v>2300</v>
      </c>
      <c r="H50" s="84">
        <v>300</v>
      </c>
      <c r="I50" s="84">
        <v>0</v>
      </c>
      <c r="J50" s="63">
        <v>300</v>
      </c>
      <c r="K50" s="63">
        <v>0</v>
      </c>
      <c r="L50" s="63">
        <v>100</v>
      </c>
      <c r="M50" s="63">
        <v>200</v>
      </c>
      <c r="N50" s="63">
        <v>500</v>
      </c>
      <c r="O50" s="54">
        <f t="shared" si="17"/>
        <v>7900</v>
      </c>
      <c r="P50" s="60">
        <v>3771</v>
      </c>
      <c r="Q50" s="60">
        <v>5800</v>
      </c>
      <c r="R50" s="37">
        <f t="shared" si="16"/>
        <v>2029</v>
      </c>
      <c r="S50" s="61"/>
    </row>
    <row r="51" spans="1:19" ht="15.75" thickBot="1" x14ac:dyDescent="0.3">
      <c r="A51" s="56" t="s">
        <v>66</v>
      </c>
      <c r="B51" s="57">
        <v>7900</v>
      </c>
      <c r="C51" s="57"/>
      <c r="D51" s="58"/>
      <c r="E51" s="57">
        <v>3800</v>
      </c>
      <c r="F51" s="57">
        <v>0</v>
      </c>
      <c r="G51" s="63">
        <v>4500</v>
      </c>
      <c r="H51" s="63">
        <v>0</v>
      </c>
      <c r="I51" s="84">
        <v>0</v>
      </c>
      <c r="J51" s="63">
        <v>900</v>
      </c>
      <c r="K51" s="63">
        <v>1100</v>
      </c>
      <c r="L51" s="63">
        <v>0</v>
      </c>
      <c r="M51" s="63">
        <v>0</v>
      </c>
      <c r="N51" s="63">
        <v>0</v>
      </c>
      <c r="O51" s="54">
        <f t="shared" si="17"/>
        <v>10300</v>
      </c>
      <c r="P51" s="60">
        <v>9208</v>
      </c>
      <c r="Q51" s="60">
        <v>8100</v>
      </c>
      <c r="R51" s="37">
        <f t="shared" si="16"/>
        <v>-1108</v>
      </c>
      <c r="S51" s="61"/>
    </row>
    <row r="52" spans="1:19" ht="15.75" thickBot="1" x14ac:dyDescent="0.3">
      <c r="A52" s="56" t="s">
        <v>67</v>
      </c>
      <c r="B52" s="57"/>
      <c r="C52" s="57"/>
      <c r="D52" s="58"/>
      <c r="E52" s="57">
        <v>3800</v>
      </c>
      <c r="F52" s="57">
        <v>0</v>
      </c>
      <c r="G52" s="63">
        <v>3000</v>
      </c>
      <c r="H52" s="63">
        <v>0</v>
      </c>
      <c r="I52" s="84">
        <v>19332</v>
      </c>
      <c r="J52" s="63">
        <v>1200</v>
      </c>
      <c r="K52" s="63">
        <v>1100</v>
      </c>
      <c r="L52" s="63">
        <v>0</v>
      </c>
      <c r="M52" s="63">
        <v>0</v>
      </c>
      <c r="N52" s="63">
        <v>0</v>
      </c>
      <c r="O52" s="54">
        <f t="shared" si="17"/>
        <v>28432</v>
      </c>
      <c r="P52" s="60">
        <v>20547</v>
      </c>
      <c r="Q52" s="60">
        <v>30300</v>
      </c>
      <c r="R52" s="37">
        <f t="shared" si="16"/>
        <v>9753</v>
      </c>
      <c r="S52" s="61"/>
    </row>
    <row r="53" spans="1:19" ht="15.75" thickBot="1" x14ac:dyDescent="0.3">
      <c r="A53" s="56" t="s">
        <v>137</v>
      </c>
      <c r="B53" s="57">
        <v>5400</v>
      </c>
      <c r="C53" s="57"/>
      <c r="D53" s="58"/>
      <c r="E53" s="62">
        <v>6000</v>
      </c>
      <c r="F53" s="57">
        <v>0</v>
      </c>
      <c r="G53" s="63">
        <v>2000</v>
      </c>
      <c r="H53" s="63">
        <v>0</v>
      </c>
      <c r="I53" s="84">
        <v>0</v>
      </c>
      <c r="J53" s="84">
        <v>3000</v>
      </c>
      <c r="K53" s="63">
        <v>800</v>
      </c>
      <c r="L53" s="63">
        <v>500</v>
      </c>
      <c r="M53" s="63">
        <v>500</v>
      </c>
      <c r="N53" s="63">
        <v>3000</v>
      </c>
      <c r="O53" s="54">
        <f t="shared" si="17"/>
        <v>15800</v>
      </c>
      <c r="P53" s="60">
        <v>8485</v>
      </c>
      <c r="Q53" s="60">
        <v>17400</v>
      </c>
      <c r="R53" s="37">
        <f t="shared" si="16"/>
        <v>8915</v>
      </c>
      <c r="S53" s="61"/>
    </row>
    <row r="54" spans="1:19" ht="15.75" thickBot="1" x14ac:dyDescent="0.3">
      <c r="A54" s="56" t="s">
        <v>136</v>
      </c>
      <c r="B54" s="57">
        <v>18000</v>
      </c>
      <c r="C54" s="57"/>
      <c r="D54" s="58"/>
      <c r="E54" s="57">
        <v>3000</v>
      </c>
      <c r="F54" s="57">
        <v>0</v>
      </c>
      <c r="G54" s="63">
        <v>4800</v>
      </c>
      <c r="H54" s="63">
        <v>800</v>
      </c>
      <c r="I54" s="84">
        <v>0</v>
      </c>
      <c r="J54" s="63">
        <v>450</v>
      </c>
      <c r="K54" s="63">
        <v>0</v>
      </c>
      <c r="L54" s="63">
        <v>4500</v>
      </c>
      <c r="M54" s="63">
        <v>5800</v>
      </c>
      <c r="N54" s="63">
        <v>8800</v>
      </c>
      <c r="O54" s="54">
        <f t="shared" si="17"/>
        <v>28150</v>
      </c>
      <c r="P54" s="60">
        <v>8357</v>
      </c>
      <c r="Q54" s="60">
        <v>14050</v>
      </c>
      <c r="R54" s="37">
        <f t="shared" si="16"/>
        <v>5693</v>
      </c>
      <c r="S54" s="61"/>
    </row>
    <row r="55" spans="1:19" ht="15.75" thickBot="1" x14ac:dyDescent="0.3">
      <c r="A55" s="56" t="s">
        <v>68</v>
      </c>
      <c r="B55" s="57">
        <v>19900</v>
      </c>
      <c r="C55" s="57"/>
      <c r="D55" s="58"/>
      <c r="E55" s="57">
        <v>3200</v>
      </c>
      <c r="F55" s="57">
        <v>0</v>
      </c>
      <c r="G55" s="63">
        <v>3000</v>
      </c>
      <c r="H55" s="63">
        <v>1000</v>
      </c>
      <c r="I55" s="84">
        <v>0</v>
      </c>
      <c r="J55" s="63">
        <v>400</v>
      </c>
      <c r="K55" s="63">
        <v>0</v>
      </c>
      <c r="L55" s="63">
        <v>6500</v>
      </c>
      <c r="M55" s="63">
        <v>3000</v>
      </c>
      <c r="N55" s="63">
        <v>3000</v>
      </c>
      <c r="O55" s="54">
        <f t="shared" si="17"/>
        <v>20100</v>
      </c>
      <c r="P55" s="60">
        <v>3414</v>
      </c>
      <c r="Q55" s="60">
        <v>16120</v>
      </c>
      <c r="R55" s="37">
        <f t="shared" si="16"/>
        <v>12706</v>
      </c>
      <c r="S55" s="61"/>
    </row>
    <row r="56" spans="1:19" ht="15.75" thickBot="1" x14ac:dyDescent="0.3">
      <c r="A56" s="213" t="s">
        <v>69</v>
      </c>
      <c r="B56" s="324">
        <f t="shared" ref="B56" si="18">SUM(B44:B55)</f>
        <v>133510</v>
      </c>
      <c r="C56" s="324"/>
      <c r="D56" s="325"/>
      <c r="E56" s="324">
        <f t="shared" ref="E56:F56" si="19">SUM(E44:E55)</f>
        <v>45300</v>
      </c>
      <c r="F56" s="324">
        <f t="shared" si="19"/>
        <v>600</v>
      </c>
      <c r="G56" s="324">
        <f>SUM(G44:G55)</f>
        <v>31300</v>
      </c>
      <c r="H56" s="324">
        <f t="shared" ref="H56:N56" si="20">SUM(H44:H55)</f>
        <v>5300</v>
      </c>
      <c r="I56" s="324">
        <f t="shared" si="20"/>
        <v>19332</v>
      </c>
      <c r="J56" s="324">
        <f t="shared" si="20"/>
        <v>8550</v>
      </c>
      <c r="K56" s="324">
        <f t="shared" si="20"/>
        <v>3400</v>
      </c>
      <c r="L56" s="324">
        <f t="shared" si="20"/>
        <v>21600</v>
      </c>
      <c r="M56" s="324">
        <f t="shared" si="20"/>
        <v>19000</v>
      </c>
      <c r="N56" s="324">
        <f t="shared" si="20"/>
        <v>28300</v>
      </c>
      <c r="O56" s="64">
        <f>SUM(E56:N56)</f>
        <v>182682</v>
      </c>
      <c r="P56" s="64">
        <f>SUM(P44:P55)</f>
        <v>87136</v>
      </c>
      <c r="Q56" s="64">
        <v>156060</v>
      </c>
      <c r="R56" s="37">
        <f t="shared" si="16"/>
        <v>68924</v>
      </c>
      <c r="S56" s="66">
        <f>R56/Q56*100</f>
        <v>44.165064718697941</v>
      </c>
    </row>
    <row r="57" spans="1:19" ht="15.75" thickBot="1" x14ac:dyDescent="0.3">
      <c r="A57" s="85"/>
      <c r="B57" s="86"/>
      <c r="C57" s="86"/>
      <c r="D57" s="87"/>
      <c r="E57" s="86"/>
      <c r="F57" s="86"/>
      <c r="G57" s="86"/>
      <c r="H57" s="86"/>
      <c r="I57" s="310" t="s">
        <v>125</v>
      </c>
      <c r="J57" s="86"/>
      <c r="K57" s="86"/>
      <c r="L57" s="86"/>
      <c r="M57" s="86"/>
      <c r="N57" s="86"/>
      <c r="O57" s="86"/>
      <c r="P57" s="86"/>
      <c r="Q57" s="86"/>
      <c r="R57" s="88"/>
      <c r="S57" s="89"/>
    </row>
    <row r="58" spans="1:19" ht="15.75" thickBot="1" x14ac:dyDescent="0.3">
      <c r="A58" s="50" t="s">
        <v>70</v>
      </c>
      <c r="B58" s="51">
        <v>126046</v>
      </c>
      <c r="C58" s="51"/>
      <c r="D58" s="52"/>
      <c r="E58" s="51">
        <v>0</v>
      </c>
      <c r="F58" s="51">
        <v>0</v>
      </c>
      <c r="G58" s="81">
        <v>0</v>
      </c>
      <c r="H58" s="81">
        <v>0</v>
      </c>
      <c r="I58" s="82">
        <v>0</v>
      </c>
      <c r="J58" s="81">
        <v>0</v>
      </c>
      <c r="K58" s="81">
        <v>0</v>
      </c>
      <c r="L58" s="82">
        <v>63180</v>
      </c>
      <c r="M58" s="82">
        <v>67369</v>
      </c>
      <c r="N58" s="81">
        <v>0</v>
      </c>
      <c r="O58" s="54">
        <f>SUM(E58:N58)</f>
        <v>130549</v>
      </c>
      <c r="P58" s="54">
        <v>128293</v>
      </c>
      <c r="Q58" s="54">
        <v>128592</v>
      </c>
      <c r="R58" s="37">
        <f t="shared" si="16"/>
        <v>299</v>
      </c>
      <c r="S58" s="83"/>
    </row>
    <row r="59" spans="1:19" ht="15.75" thickBot="1" x14ac:dyDescent="0.3">
      <c r="A59" s="56" t="s">
        <v>71</v>
      </c>
      <c r="B59" s="57">
        <v>41506</v>
      </c>
      <c r="C59" s="57"/>
      <c r="D59" s="58"/>
      <c r="E59" s="57">
        <v>0</v>
      </c>
      <c r="F59" s="57">
        <v>0</v>
      </c>
      <c r="G59" s="63">
        <v>0</v>
      </c>
      <c r="H59" s="63">
        <v>0</v>
      </c>
      <c r="I59" s="84">
        <v>0</v>
      </c>
      <c r="J59" s="63">
        <v>0</v>
      </c>
      <c r="K59" s="63">
        <v>0</v>
      </c>
      <c r="L59" s="63">
        <v>0</v>
      </c>
      <c r="M59" s="84">
        <v>28178</v>
      </c>
      <c r="N59" s="63">
        <v>0</v>
      </c>
      <c r="O59" s="60">
        <f>SUM(E59:N59)</f>
        <v>28178</v>
      </c>
      <c r="P59" s="60">
        <v>29344</v>
      </c>
      <c r="Q59" s="60">
        <v>29706</v>
      </c>
      <c r="R59" s="37">
        <f t="shared" si="16"/>
        <v>362</v>
      </c>
      <c r="S59" s="61"/>
    </row>
    <row r="60" spans="1:19" ht="15.75" thickBot="1" x14ac:dyDescent="0.3">
      <c r="A60" s="56" t="s">
        <v>72</v>
      </c>
      <c r="B60" s="57">
        <v>1972</v>
      </c>
      <c r="C60" s="57"/>
      <c r="D60" s="58"/>
      <c r="E60" s="57">
        <v>0</v>
      </c>
      <c r="F60" s="57">
        <v>0</v>
      </c>
      <c r="G60" s="63">
        <v>0</v>
      </c>
      <c r="H60" s="63">
        <v>0</v>
      </c>
      <c r="I60" s="84">
        <v>0</v>
      </c>
      <c r="J60" s="63">
        <v>0</v>
      </c>
      <c r="K60" s="63">
        <v>0</v>
      </c>
      <c r="L60" s="63">
        <v>0</v>
      </c>
      <c r="M60" s="84">
        <v>1003</v>
      </c>
      <c r="N60" s="63">
        <v>0</v>
      </c>
      <c r="O60" s="60">
        <f>SUM(E60:N60)</f>
        <v>1003</v>
      </c>
      <c r="P60" s="60">
        <v>1494</v>
      </c>
      <c r="Q60" s="60">
        <v>1494</v>
      </c>
      <c r="R60" s="37">
        <f t="shared" si="16"/>
        <v>0</v>
      </c>
      <c r="S60" s="61"/>
    </row>
    <row r="61" spans="1:19" ht="15.75" thickBot="1" x14ac:dyDescent="0.3">
      <c r="A61" s="213" t="s">
        <v>73</v>
      </c>
      <c r="B61" s="324">
        <f>SUM(B58:B60)</f>
        <v>169524</v>
      </c>
      <c r="C61" s="324"/>
      <c r="D61" s="325"/>
      <c r="E61" s="324">
        <f>SUM(E58:E60)</f>
        <v>0</v>
      </c>
      <c r="F61" s="324">
        <f t="shared" ref="F61" si="21">SUM(F58:F60)</f>
        <v>0</v>
      </c>
      <c r="G61" s="324">
        <f>SUM(G58:G60)</f>
        <v>0</v>
      </c>
      <c r="H61" s="324">
        <f t="shared" ref="H61:N61" si="22">SUM(H58:H60)</f>
        <v>0</v>
      </c>
      <c r="I61" s="324">
        <f t="shared" si="22"/>
        <v>0</v>
      </c>
      <c r="J61" s="324">
        <f t="shared" si="22"/>
        <v>0</v>
      </c>
      <c r="K61" s="324">
        <f t="shared" si="22"/>
        <v>0</v>
      </c>
      <c r="L61" s="324">
        <f t="shared" si="22"/>
        <v>63180</v>
      </c>
      <c r="M61" s="324">
        <f t="shared" si="22"/>
        <v>96550</v>
      </c>
      <c r="N61" s="324">
        <f t="shared" si="22"/>
        <v>0</v>
      </c>
      <c r="O61" s="64">
        <f>SUM(E61:N61)</f>
        <v>159730</v>
      </c>
      <c r="P61" s="64">
        <f>SUM(P58:P60)</f>
        <v>159131</v>
      </c>
      <c r="Q61" s="64">
        <v>159792</v>
      </c>
      <c r="R61" s="37">
        <f t="shared" si="16"/>
        <v>661</v>
      </c>
      <c r="S61" s="66">
        <f>R61/Q61*100</f>
        <v>0.4136627615900671</v>
      </c>
    </row>
    <row r="62" spans="1:19" ht="15.75" thickBot="1" x14ac:dyDescent="0.3">
      <c r="A62" s="85"/>
      <c r="B62" s="86"/>
      <c r="C62" s="86"/>
      <c r="D62" s="87"/>
      <c r="E62" s="86"/>
      <c r="F62" s="86"/>
      <c r="G62" s="86"/>
      <c r="H62" s="86"/>
      <c r="I62" s="314"/>
      <c r="J62" s="86"/>
      <c r="K62" s="86"/>
      <c r="L62" s="86"/>
      <c r="M62" s="86"/>
      <c r="N62" s="86"/>
      <c r="O62" s="86"/>
      <c r="P62" s="86"/>
      <c r="Q62" s="86"/>
      <c r="R62" s="90"/>
      <c r="S62" s="67"/>
    </row>
    <row r="63" spans="1:19" ht="15.75" thickBot="1" x14ac:dyDescent="0.3">
      <c r="A63" s="50" t="s">
        <v>138</v>
      </c>
      <c r="B63" s="91">
        <v>70000</v>
      </c>
      <c r="C63" s="91" t="s">
        <v>74</v>
      </c>
      <c r="D63" s="92"/>
      <c r="E63" s="91">
        <v>1400</v>
      </c>
      <c r="F63" s="51">
        <v>0</v>
      </c>
      <c r="G63" s="81">
        <v>3150</v>
      </c>
      <c r="H63" s="81">
        <v>0</v>
      </c>
      <c r="I63" s="82">
        <v>0</v>
      </c>
      <c r="J63" s="81">
        <v>0</v>
      </c>
      <c r="K63" s="81">
        <v>0</v>
      </c>
      <c r="L63" s="82">
        <v>48375</v>
      </c>
      <c r="M63" s="82">
        <v>0</v>
      </c>
      <c r="N63" s="82">
        <v>0</v>
      </c>
      <c r="O63" s="54">
        <f>SUM(E63:N63)</f>
        <v>52925</v>
      </c>
      <c r="P63" s="54">
        <v>47292</v>
      </c>
      <c r="Q63" s="54">
        <v>59938</v>
      </c>
      <c r="R63" s="37">
        <f t="shared" si="16"/>
        <v>12646</v>
      </c>
      <c r="S63" s="55"/>
    </row>
    <row r="64" spans="1:19" ht="15.75" thickBot="1" x14ac:dyDescent="0.3">
      <c r="A64" s="93" t="s">
        <v>143</v>
      </c>
      <c r="B64" s="94"/>
      <c r="C64" s="94"/>
      <c r="D64" s="95"/>
      <c r="E64" s="94">
        <v>400</v>
      </c>
      <c r="F64" s="96"/>
      <c r="G64" s="97">
        <v>0</v>
      </c>
      <c r="H64" s="97"/>
      <c r="I64" s="216"/>
      <c r="J64" s="97"/>
      <c r="K64" s="97"/>
      <c r="L64" s="97"/>
      <c r="M64" s="216">
        <v>17000</v>
      </c>
      <c r="N64" s="216">
        <v>5400</v>
      </c>
      <c r="O64" s="54">
        <f>SUM(E64:N64)</f>
        <v>22800</v>
      </c>
      <c r="P64" s="98">
        <v>21118</v>
      </c>
      <c r="Q64" s="98">
        <v>21500</v>
      </c>
      <c r="R64" s="37">
        <f t="shared" si="16"/>
        <v>382</v>
      </c>
      <c r="S64" s="99"/>
    </row>
    <row r="65" spans="1:19" ht="15.75" thickBot="1" x14ac:dyDescent="0.3">
      <c r="A65" s="56" t="s">
        <v>75</v>
      </c>
      <c r="B65" s="62">
        <v>0</v>
      </c>
      <c r="C65" s="62"/>
      <c r="D65" s="100"/>
      <c r="E65" s="62">
        <v>0</v>
      </c>
      <c r="F65" s="57">
        <v>0</v>
      </c>
      <c r="G65" s="63">
        <v>0</v>
      </c>
      <c r="H65" s="63">
        <v>0</v>
      </c>
      <c r="I65" s="84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0">
        <f>SUM(E65:N65)</f>
        <v>0</v>
      </c>
      <c r="P65" s="60"/>
      <c r="Q65" s="60">
        <v>0</v>
      </c>
      <c r="R65" s="37">
        <f t="shared" si="16"/>
        <v>0</v>
      </c>
      <c r="S65" s="61"/>
    </row>
    <row r="66" spans="1:19" ht="15.75" thickBot="1" x14ac:dyDescent="0.3">
      <c r="A66" s="56" t="s">
        <v>76</v>
      </c>
      <c r="B66" s="62">
        <v>800</v>
      </c>
      <c r="C66" s="62"/>
      <c r="D66" s="100"/>
      <c r="E66" s="62">
        <v>130</v>
      </c>
      <c r="F66" s="62">
        <v>0</v>
      </c>
      <c r="G66" s="84">
        <v>70</v>
      </c>
      <c r="H66" s="84">
        <v>0</v>
      </c>
      <c r="I66" s="84">
        <v>0</v>
      </c>
      <c r="J66" s="84">
        <v>140</v>
      </c>
      <c r="K66" s="84">
        <v>0</v>
      </c>
      <c r="L66" s="84">
        <v>11</v>
      </c>
      <c r="M66" s="84">
        <v>0</v>
      </c>
      <c r="N66" s="84">
        <v>85</v>
      </c>
      <c r="O66" s="60">
        <f>SUM(E66:N66)</f>
        <v>436</v>
      </c>
      <c r="P66" s="60">
        <v>413</v>
      </c>
      <c r="Q66" s="60">
        <v>425</v>
      </c>
      <c r="R66" s="37">
        <f t="shared" si="16"/>
        <v>12</v>
      </c>
      <c r="S66" s="61"/>
    </row>
    <row r="67" spans="1:19" ht="15.75" thickBot="1" x14ac:dyDescent="0.3">
      <c r="A67" s="56" t="s">
        <v>77</v>
      </c>
      <c r="B67" s="62">
        <v>0</v>
      </c>
      <c r="C67" s="62"/>
      <c r="D67" s="100"/>
      <c r="E67" s="62">
        <f>SUM(E21+E41+E56+E60+E63+E64+E65+E66)*-1</f>
        <v>-801432</v>
      </c>
      <c r="F67" s="62">
        <f>SUM(F21+F41+F56+F60+F63+F64+F65+F66)*-1</f>
        <v>-19555</v>
      </c>
      <c r="G67" s="84">
        <f>(($E$67+$F$67)*-1)*0.13</f>
        <v>106728.31</v>
      </c>
      <c r="H67" s="84">
        <f>(($E$67+$F$67)*-1)*0.03</f>
        <v>24629.61</v>
      </c>
      <c r="I67" s="84">
        <f>(($E$67+$F$67)*-1)*0</f>
        <v>0</v>
      </c>
      <c r="J67" s="84">
        <f>(($E$67+$F$67)*-1)*0.04</f>
        <v>32839.480000000003</v>
      </c>
      <c r="K67" s="84">
        <f>(($E$67+$F$67)*-1)*0.01</f>
        <v>8209.8700000000008</v>
      </c>
      <c r="L67" s="84">
        <f>(($E$67+$F$67)*-1)*0.18</f>
        <v>147777.66</v>
      </c>
      <c r="M67" s="84">
        <f>(($E$67+$F$67)*-1)*0.29</f>
        <v>238086.22999999998</v>
      </c>
      <c r="N67" s="84">
        <f>(($E$67+$F$67)*-1)*0.32</f>
        <v>262715.84000000003</v>
      </c>
      <c r="O67" s="60">
        <f>SUM(E67:N67)</f>
        <v>0</v>
      </c>
      <c r="P67" s="60"/>
      <c r="Q67" s="60">
        <v>0</v>
      </c>
      <c r="R67" s="37">
        <f t="shared" si="16"/>
        <v>0</v>
      </c>
      <c r="S67" s="61"/>
    </row>
    <row r="68" spans="1:19" ht="15.75" thickBot="1" x14ac:dyDescent="0.3">
      <c r="A68" s="326" t="s">
        <v>78</v>
      </c>
      <c r="B68" s="327">
        <f>SUM(B63:B67)</f>
        <v>70800</v>
      </c>
      <c r="C68" s="327"/>
      <c r="D68" s="328"/>
      <c r="E68" s="311">
        <f ca="1">SUM(E22+E42+E57+E61+E68)</f>
        <v>0</v>
      </c>
      <c r="F68" s="311">
        <f ca="1">SUM(F22+F42+F57+F61+F68)</f>
        <v>0</v>
      </c>
      <c r="G68" s="327">
        <f t="shared" ref="G68:N68" si="23">SUM(G63:G67)</f>
        <v>109948.31</v>
      </c>
      <c r="H68" s="327">
        <f t="shared" si="23"/>
        <v>24629.61</v>
      </c>
      <c r="I68" s="327">
        <f t="shared" si="23"/>
        <v>0</v>
      </c>
      <c r="J68" s="327">
        <f t="shared" si="23"/>
        <v>32979.480000000003</v>
      </c>
      <c r="K68" s="327">
        <f t="shared" si="23"/>
        <v>8209.8700000000008</v>
      </c>
      <c r="L68" s="327">
        <f t="shared" si="23"/>
        <v>196163.66</v>
      </c>
      <c r="M68" s="327">
        <f t="shared" si="23"/>
        <v>255086.22999999998</v>
      </c>
      <c r="N68" s="327">
        <f t="shared" si="23"/>
        <v>268200.84000000003</v>
      </c>
      <c r="O68" s="101">
        <f>SUM(O63:O67)</f>
        <v>76161</v>
      </c>
      <c r="P68" s="101">
        <f>SUM(P63:P67)</f>
        <v>68823</v>
      </c>
      <c r="Q68" s="101">
        <v>81863</v>
      </c>
      <c r="R68" s="102">
        <f t="shared" si="16"/>
        <v>13040</v>
      </c>
      <c r="S68" s="103">
        <f>R68/Q68*100</f>
        <v>15.92905219696322</v>
      </c>
    </row>
    <row r="69" spans="1:19" x14ac:dyDescent="0.25">
      <c r="A69" s="104"/>
      <c r="B69" s="105"/>
      <c r="C69" s="105"/>
      <c r="D69" s="106"/>
      <c r="E69" s="105"/>
      <c r="F69" s="47">
        <f>SUM(G69:N69)</f>
        <v>100</v>
      </c>
      <c r="G69" s="47">
        <v>13</v>
      </c>
      <c r="H69" s="47">
        <v>3</v>
      </c>
      <c r="I69" s="309">
        <v>0</v>
      </c>
      <c r="J69" s="47">
        <v>4</v>
      </c>
      <c r="K69" s="47">
        <v>1</v>
      </c>
      <c r="L69" s="47">
        <v>18</v>
      </c>
      <c r="M69" s="47">
        <v>29</v>
      </c>
      <c r="N69" s="47">
        <v>32</v>
      </c>
      <c r="O69" s="105"/>
      <c r="P69" s="105"/>
      <c r="Q69" s="105"/>
      <c r="R69" s="107"/>
      <c r="S69" s="108"/>
    </row>
    <row r="70" spans="1:19" ht="15.75" x14ac:dyDescent="0.25">
      <c r="A70" s="109" t="s">
        <v>79</v>
      </c>
      <c r="B70" s="110">
        <f t="shared" ref="B70" si="24">SUM(B21+B41+B56+B61+B68)</f>
        <v>1495966</v>
      </c>
      <c r="C70" s="110"/>
      <c r="D70" s="111"/>
      <c r="E70" s="119">
        <v>0</v>
      </c>
      <c r="F70" s="119"/>
      <c r="G70" s="119">
        <f t="shared" ref="G70:P70" si="25">SUM(G21+G41+G56+G61+G68)</f>
        <v>233999.31</v>
      </c>
      <c r="H70" s="119">
        <f t="shared" si="25"/>
        <v>60229.61</v>
      </c>
      <c r="I70" s="119">
        <f t="shared" si="25"/>
        <v>19332</v>
      </c>
      <c r="J70" s="119">
        <f t="shared" si="25"/>
        <v>90980.48000000001</v>
      </c>
      <c r="K70" s="119">
        <f t="shared" si="25"/>
        <v>15580.87</v>
      </c>
      <c r="L70" s="119">
        <f t="shared" si="25"/>
        <v>366315.66000000003</v>
      </c>
      <c r="M70" s="119">
        <f t="shared" si="25"/>
        <v>460727.23</v>
      </c>
      <c r="N70" s="119">
        <f t="shared" si="25"/>
        <v>469344.84</v>
      </c>
      <c r="O70" s="282">
        <f>SUM(E70:N70)</f>
        <v>1716510.0000000002</v>
      </c>
      <c r="P70" s="119">
        <f t="shared" si="25"/>
        <v>1404894</v>
      </c>
      <c r="Q70" s="282">
        <v>1522491.9415</v>
      </c>
      <c r="R70" s="283">
        <f t="shared" ref="R70" si="26">+O70-Q70</f>
        <v>194018.05850000028</v>
      </c>
      <c r="S70" s="112">
        <f>R70/Q70*100</f>
        <v>12.743453887108819</v>
      </c>
    </row>
    <row r="71" spans="1:19" x14ac:dyDescent="0.25">
      <c r="A71" s="113"/>
      <c r="B71" s="114"/>
      <c r="C71" s="114"/>
      <c r="D71" s="115"/>
      <c r="E71" s="116">
        <v>433839</v>
      </c>
      <c r="F71" s="116">
        <v>4600</v>
      </c>
      <c r="G71" s="116"/>
      <c r="H71" s="116"/>
      <c r="I71" s="315"/>
      <c r="J71" s="116"/>
      <c r="K71" s="116"/>
      <c r="L71" s="116"/>
      <c r="M71" s="116"/>
      <c r="N71" s="116"/>
      <c r="O71" s="114"/>
      <c r="P71" s="114"/>
      <c r="Q71" s="114"/>
      <c r="R71" s="117"/>
      <c r="S71" s="118"/>
    </row>
    <row r="72" spans="1:19" ht="15.75" x14ac:dyDescent="0.25">
      <c r="A72" s="109" t="s">
        <v>80</v>
      </c>
      <c r="B72" s="119">
        <f t="shared" ref="B72" si="27">B12-B70</f>
        <v>470563</v>
      </c>
      <c r="C72" s="119"/>
      <c r="D72" s="120"/>
      <c r="E72" s="119">
        <f t="shared" ref="E72:P72" si="28">E12-E70</f>
        <v>78000</v>
      </c>
      <c r="F72" s="119">
        <f t="shared" si="28"/>
        <v>0</v>
      </c>
      <c r="G72" s="119">
        <f t="shared" si="28"/>
        <v>18678.690000000002</v>
      </c>
      <c r="H72" s="119">
        <f t="shared" si="28"/>
        <v>-19381.61</v>
      </c>
      <c r="I72" s="119">
        <f t="shared" si="28"/>
        <v>204</v>
      </c>
      <c r="J72" s="119">
        <f t="shared" si="28"/>
        <v>-44394.48000000001</v>
      </c>
      <c r="K72" s="119">
        <f t="shared" si="28"/>
        <v>-5456.8700000000008</v>
      </c>
      <c r="L72" s="119">
        <f t="shared" si="28"/>
        <v>30317.339999999967</v>
      </c>
      <c r="M72" s="119">
        <f t="shared" si="28"/>
        <v>60686.770000000019</v>
      </c>
      <c r="N72" s="119">
        <f t="shared" si="28"/>
        <v>131365.15999999997</v>
      </c>
      <c r="O72" s="282">
        <f t="shared" si="28"/>
        <v>250018.99999999977</v>
      </c>
      <c r="P72" s="119">
        <f t="shared" si="28"/>
        <v>498224</v>
      </c>
      <c r="Q72" s="119">
        <v>216531.05850000004</v>
      </c>
      <c r="R72" s="121">
        <f t="shared" ref="R72" si="29">+O72-Q72</f>
        <v>33487.941499999724</v>
      </c>
      <c r="S72" s="122">
        <f>R72/Q72*100</f>
        <v>15.465652702196401</v>
      </c>
    </row>
    <row r="73" spans="1:19" ht="15.75" x14ac:dyDescent="0.25">
      <c r="A73" s="123"/>
      <c r="B73" s="124"/>
      <c r="C73" s="124"/>
      <c r="D73" s="125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>SUM(E72:N72)</f>
        <v>250018.99999999994</v>
      </c>
      <c r="P73" s="124"/>
      <c r="Q73" s="124">
        <v>216531.05850000004</v>
      </c>
      <c r="R73" s="126"/>
      <c r="S73" s="127"/>
    </row>
    <row r="74" spans="1:19" x14ac:dyDescent="0.25">
      <c r="A74" s="118"/>
      <c r="B74" s="128" t="s">
        <v>30</v>
      </c>
      <c r="C74" s="128"/>
      <c r="D74" s="128"/>
      <c r="E74" s="128">
        <v>1010</v>
      </c>
      <c r="F74" s="128">
        <v>1020</v>
      </c>
      <c r="G74" s="128">
        <v>1040</v>
      </c>
      <c r="H74" s="128">
        <v>1050</v>
      </c>
      <c r="I74" s="129">
        <v>1060</v>
      </c>
      <c r="J74" s="128">
        <v>1070</v>
      </c>
      <c r="K74" s="128">
        <v>1080</v>
      </c>
      <c r="L74" s="128">
        <v>1090</v>
      </c>
      <c r="M74" s="128">
        <v>2000</v>
      </c>
      <c r="N74" s="128">
        <v>3000</v>
      </c>
      <c r="O74" s="118"/>
      <c r="P74" s="118"/>
      <c r="Q74" s="118"/>
      <c r="R74" s="130"/>
      <c r="S74" s="118"/>
    </row>
    <row r="75" spans="1:19" x14ac:dyDescent="0.25">
      <c r="A75" s="118"/>
      <c r="B75" s="131" t="s">
        <v>30</v>
      </c>
      <c r="C75" s="131"/>
      <c r="D75" s="131"/>
      <c r="E75" s="131" t="s">
        <v>5</v>
      </c>
      <c r="F75" s="131" t="s">
        <v>6</v>
      </c>
      <c r="G75" s="131" t="s">
        <v>7</v>
      </c>
      <c r="H75" s="131" t="s">
        <v>8</v>
      </c>
      <c r="I75" s="132" t="s">
        <v>9</v>
      </c>
      <c r="J75" s="131" t="s">
        <v>10</v>
      </c>
      <c r="K75" s="131" t="s">
        <v>11</v>
      </c>
      <c r="L75" s="131" t="s">
        <v>12</v>
      </c>
      <c r="M75" s="131" t="s">
        <v>13</v>
      </c>
      <c r="N75" s="131" t="s">
        <v>14</v>
      </c>
      <c r="O75" s="281" t="s">
        <v>60</v>
      </c>
      <c r="P75" s="281" t="s">
        <v>60</v>
      </c>
      <c r="Q75" s="281" t="s">
        <v>60</v>
      </c>
      <c r="R75" s="133" t="s">
        <v>17</v>
      </c>
      <c r="S75" s="134"/>
    </row>
    <row r="76" spans="1:19" x14ac:dyDescent="0.25">
      <c r="A76" s="129" t="s">
        <v>81</v>
      </c>
      <c r="B76" s="118" t="s">
        <v>30</v>
      </c>
      <c r="C76" s="118"/>
      <c r="D76" s="135"/>
      <c r="E76" s="118"/>
      <c r="F76" s="118"/>
      <c r="G76" s="118"/>
      <c r="H76" s="118"/>
      <c r="I76" s="136"/>
      <c r="J76" s="118"/>
      <c r="K76" s="118"/>
      <c r="L76" s="118"/>
      <c r="M76" s="118"/>
      <c r="N76" s="118"/>
      <c r="O76" s="118"/>
      <c r="P76" s="118"/>
      <c r="Q76" s="118"/>
      <c r="R76" s="130"/>
      <c r="S76" s="118"/>
    </row>
    <row r="77" spans="1:19" x14ac:dyDescent="0.25">
      <c r="A77" s="118"/>
      <c r="B77" s="118"/>
      <c r="C77" s="118"/>
      <c r="D77" s="135"/>
      <c r="E77" s="118"/>
      <c r="F77" s="118"/>
      <c r="G77" s="118"/>
      <c r="H77" s="118"/>
      <c r="I77" s="136"/>
      <c r="J77" s="118"/>
      <c r="K77" s="118"/>
      <c r="L77" s="118"/>
      <c r="M77" s="118"/>
      <c r="N77" s="118"/>
      <c r="O77" s="118"/>
      <c r="P77" s="118"/>
      <c r="Q77" s="118"/>
      <c r="R77" s="130"/>
      <c r="S77" s="118"/>
    </row>
    <row r="78" spans="1:19" x14ac:dyDescent="0.25">
      <c r="A78" s="118" t="s">
        <v>126</v>
      </c>
      <c r="B78" s="63">
        <f>SUM(E78:N78)</f>
        <v>7136.1839999999993</v>
      </c>
      <c r="C78" s="63"/>
      <c r="D78" s="137"/>
      <c r="E78" s="279">
        <f>E95*0.003</f>
        <v>942.32100000000003</v>
      </c>
      <c r="F78" s="279">
        <f t="shared" ref="F78:N78" si="30">F95*0.003</f>
        <v>0</v>
      </c>
      <c r="G78" s="279">
        <f t="shared" si="30"/>
        <v>1041.393</v>
      </c>
      <c r="H78" s="279">
        <f t="shared" si="30"/>
        <v>331.36500000000001</v>
      </c>
      <c r="I78" s="279">
        <f t="shared" si="30"/>
        <v>1.131</v>
      </c>
      <c r="J78" s="279">
        <f t="shared" si="30"/>
        <v>236.928</v>
      </c>
      <c r="K78" s="279">
        <f t="shared" si="30"/>
        <v>9.75</v>
      </c>
      <c r="L78" s="279">
        <f t="shared" si="30"/>
        <v>209.93700000000001</v>
      </c>
      <c r="M78" s="279">
        <f t="shared" si="30"/>
        <v>3432.819</v>
      </c>
      <c r="N78" s="279">
        <f t="shared" si="30"/>
        <v>930.54</v>
      </c>
      <c r="O78" s="279">
        <f>SUM(E78:N78)</f>
        <v>7136.1839999999993</v>
      </c>
      <c r="P78" s="63">
        <v>0</v>
      </c>
      <c r="Q78" s="63">
        <v>44122</v>
      </c>
      <c r="R78" s="138">
        <v>0</v>
      </c>
      <c r="S78" s="63"/>
    </row>
    <row r="79" spans="1:19" x14ac:dyDescent="0.25">
      <c r="A79" s="118" t="s">
        <v>82</v>
      </c>
      <c r="B79" s="63">
        <v>0</v>
      </c>
      <c r="C79" s="63"/>
      <c r="D79" s="137"/>
      <c r="E79" s="63">
        <v>0</v>
      </c>
      <c r="F79" s="63">
        <v>0</v>
      </c>
      <c r="G79" s="63">
        <v>0</v>
      </c>
      <c r="H79" s="63">
        <v>0</v>
      </c>
      <c r="I79" s="84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138">
        <v>0</v>
      </c>
      <c r="S79" s="63"/>
    </row>
    <row r="80" spans="1:19" x14ac:dyDescent="0.25">
      <c r="A80" s="118"/>
      <c r="B80" s="63">
        <v>0</v>
      </c>
      <c r="C80" s="63"/>
      <c r="D80" s="137"/>
      <c r="E80" s="63">
        <v>0</v>
      </c>
      <c r="F80" s="63">
        <v>0</v>
      </c>
      <c r="G80" s="63">
        <v>0</v>
      </c>
      <c r="H80" s="63">
        <v>0</v>
      </c>
      <c r="I80" s="84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138">
        <v>0</v>
      </c>
      <c r="S80" s="118"/>
    </row>
    <row r="81" spans="1:19" x14ac:dyDescent="0.25">
      <c r="A81" s="139" t="s">
        <v>83</v>
      </c>
      <c r="B81" s="140">
        <f>B78-B79</f>
        <v>7136.1839999999993</v>
      </c>
      <c r="C81" s="140"/>
      <c r="D81" s="141"/>
      <c r="E81" s="140">
        <f>E78-E79</f>
        <v>942.32100000000003</v>
      </c>
      <c r="F81" s="140">
        <f t="shared" ref="F81:R81" si="31">F78-F79</f>
        <v>0</v>
      </c>
      <c r="G81" s="140">
        <f t="shared" si="31"/>
        <v>1041.393</v>
      </c>
      <c r="H81" s="140">
        <f t="shared" si="31"/>
        <v>331.36500000000001</v>
      </c>
      <c r="I81" s="140">
        <f t="shared" si="31"/>
        <v>1.131</v>
      </c>
      <c r="J81" s="140">
        <f t="shared" si="31"/>
        <v>236.928</v>
      </c>
      <c r="K81" s="140">
        <f t="shared" si="31"/>
        <v>9.75</v>
      </c>
      <c r="L81" s="140">
        <f t="shared" si="31"/>
        <v>209.93700000000001</v>
      </c>
      <c r="M81" s="140">
        <f t="shared" si="31"/>
        <v>3432.819</v>
      </c>
      <c r="N81" s="140">
        <f t="shared" si="31"/>
        <v>930.54</v>
      </c>
      <c r="O81" s="140">
        <f t="shared" si="31"/>
        <v>7136.1839999999993</v>
      </c>
      <c r="P81" s="140">
        <v>0</v>
      </c>
      <c r="Q81" s="140">
        <v>44122</v>
      </c>
      <c r="R81" s="140">
        <f t="shared" si="31"/>
        <v>0</v>
      </c>
      <c r="S81" s="142"/>
    </row>
    <row r="82" spans="1:19" x14ac:dyDescent="0.25">
      <c r="A82" s="118"/>
      <c r="B82" s="118"/>
      <c r="C82" s="118"/>
      <c r="D82" s="135"/>
      <c r="E82" s="118"/>
      <c r="F82" s="118"/>
      <c r="G82" s="118"/>
      <c r="H82" s="118"/>
      <c r="I82" s="136"/>
      <c r="J82" s="118"/>
      <c r="K82" s="118"/>
      <c r="L82" s="118"/>
      <c r="M82" s="118"/>
      <c r="N82" s="118"/>
      <c r="O82" s="235">
        <f>SUM(E81:N81)</f>
        <v>7136.1839999999993</v>
      </c>
      <c r="P82" s="118"/>
      <c r="Q82" s="118"/>
      <c r="R82" s="130"/>
      <c r="S82" s="118"/>
    </row>
    <row r="83" spans="1:19" x14ac:dyDescent="0.25">
      <c r="A83" s="139" t="s">
        <v>84</v>
      </c>
      <c r="B83" s="140">
        <f>B72+B81</f>
        <v>477699.18400000001</v>
      </c>
      <c r="C83" s="140"/>
      <c r="D83" s="141"/>
      <c r="E83" s="140">
        <f>E72+E81</f>
        <v>78942.320999999996</v>
      </c>
      <c r="F83" s="140">
        <f t="shared" ref="F83:N83" si="32">F72+F81</f>
        <v>0</v>
      </c>
      <c r="G83" s="140">
        <f t="shared" si="32"/>
        <v>19720.083000000002</v>
      </c>
      <c r="H83" s="140">
        <f t="shared" si="32"/>
        <v>-19050.244999999999</v>
      </c>
      <c r="I83" s="140">
        <f t="shared" si="32"/>
        <v>205.131</v>
      </c>
      <c r="J83" s="140">
        <f t="shared" si="32"/>
        <v>-44157.552000000011</v>
      </c>
      <c r="K83" s="140">
        <f t="shared" si="32"/>
        <v>-5447.1200000000008</v>
      </c>
      <c r="L83" s="140">
        <f t="shared" si="32"/>
        <v>30527.276999999969</v>
      </c>
      <c r="M83" s="140">
        <f t="shared" si="32"/>
        <v>64119.589000000022</v>
      </c>
      <c r="N83" s="140">
        <f t="shared" si="32"/>
        <v>132295.69999999998</v>
      </c>
      <c r="O83" s="140">
        <f t="shared" ref="O83:R83" si="33">O72+O81</f>
        <v>257155.18399999978</v>
      </c>
      <c r="P83" s="140">
        <v>0</v>
      </c>
      <c r="Q83" s="140">
        <v>260653.05850000004</v>
      </c>
      <c r="R83" s="140">
        <f t="shared" si="33"/>
        <v>33487.941499999724</v>
      </c>
      <c r="S83" s="142"/>
    </row>
    <row r="84" spans="1:19" x14ac:dyDescent="0.25">
      <c r="A84" s="143" t="s">
        <v>85</v>
      </c>
      <c r="B84" s="144"/>
      <c r="C84" s="144"/>
      <c r="D84" s="145"/>
      <c r="E84" s="146" t="s">
        <v>135</v>
      </c>
      <c r="F84" s="144"/>
      <c r="G84" s="146"/>
      <c r="H84" s="147"/>
      <c r="I84" s="147"/>
      <c r="J84" s="147"/>
      <c r="K84" s="147"/>
      <c r="L84" s="147"/>
      <c r="M84" s="147"/>
      <c r="N84" s="147"/>
      <c r="O84" s="147">
        <f>SUM(E83:N83)</f>
        <v>257155.18399999995</v>
      </c>
      <c r="P84" s="147"/>
      <c r="Q84" s="147"/>
      <c r="R84" s="147"/>
      <c r="S84" s="148"/>
    </row>
    <row r="85" spans="1:19" x14ac:dyDescent="0.25">
      <c r="A85" s="149" t="s">
        <v>86</v>
      </c>
      <c r="B85" s="144"/>
      <c r="C85" s="144"/>
      <c r="D85" s="145"/>
      <c r="E85" s="146" t="s">
        <v>147</v>
      </c>
      <c r="F85" s="144"/>
      <c r="G85" s="144"/>
      <c r="H85" s="150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8"/>
    </row>
    <row r="86" spans="1:19" x14ac:dyDescent="0.25">
      <c r="A86" s="149" t="s">
        <v>87</v>
      </c>
      <c r="B86" s="151" t="s">
        <v>88</v>
      </c>
      <c r="C86" s="151"/>
      <c r="D86" s="152"/>
      <c r="E86" s="153" t="s">
        <v>133</v>
      </c>
      <c r="F86" s="151"/>
      <c r="G86" s="151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5"/>
    </row>
    <row r="87" spans="1:19" x14ac:dyDescent="0.25">
      <c r="A87" s="149" t="s">
        <v>89</v>
      </c>
      <c r="B87" s="144"/>
      <c r="C87" s="144"/>
      <c r="D87" s="145"/>
      <c r="E87" s="146" t="s">
        <v>142</v>
      </c>
      <c r="F87" s="144"/>
      <c r="G87" s="144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8"/>
    </row>
    <row r="88" spans="1:19" x14ac:dyDescent="0.25">
      <c r="A88" s="149" t="s">
        <v>90</v>
      </c>
      <c r="B88" s="144"/>
      <c r="C88" s="144"/>
      <c r="D88" s="145"/>
      <c r="E88" s="144" t="s">
        <v>145</v>
      </c>
      <c r="F88" s="144"/>
      <c r="G88" s="144"/>
      <c r="H88" s="147"/>
      <c r="I88" s="147"/>
      <c r="J88" s="147"/>
      <c r="K88" s="147"/>
      <c r="L88" s="154"/>
      <c r="M88" s="154"/>
      <c r="N88" s="154"/>
      <c r="O88" s="154"/>
      <c r="P88" s="154"/>
      <c r="Q88" s="154"/>
      <c r="R88" s="156"/>
      <c r="S88" s="148"/>
    </row>
    <row r="89" spans="1:19" x14ac:dyDescent="0.25">
      <c r="A89" s="149" t="s">
        <v>91</v>
      </c>
      <c r="B89" s="144"/>
      <c r="C89" s="144"/>
      <c r="D89" s="145"/>
      <c r="E89" s="144" t="s">
        <v>144</v>
      </c>
      <c r="F89" s="144"/>
      <c r="G89" s="144" t="s">
        <v>146</v>
      </c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8"/>
    </row>
    <row r="90" spans="1:19" x14ac:dyDescent="0.25">
      <c r="A90" s="149" t="s">
        <v>92</v>
      </c>
      <c r="B90" s="144"/>
      <c r="C90" s="144"/>
      <c r="D90" s="145"/>
      <c r="E90" s="144"/>
      <c r="F90" s="144"/>
      <c r="G90" s="144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8"/>
    </row>
    <row r="91" spans="1:19" x14ac:dyDescent="0.25">
      <c r="A91" s="149" t="s">
        <v>93</v>
      </c>
      <c r="B91" s="144"/>
      <c r="C91" s="144"/>
      <c r="D91" s="145"/>
      <c r="E91" s="144"/>
      <c r="F91" s="144"/>
      <c r="G91" s="144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8"/>
    </row>
    <row r="92" spans="1:19" ht="19.5" thickBot="1" x14ac:dyDescent="0.35">
      <c r="A92" s="157"/>
      <c r="B92" s="158"/>
      <c r="C92" s="158"/>
      <c r="D92" s="159"/>
      <c r="E92" s="22"/>
      <c r="F92" s="158"/>
      <c r="G92" s="160" t="s">
        <v>149</v>
      </c>
      <c r="H92" s="158"/>
      <c r="I92" s="306"/>
      <c r="J92" s="161"/>
      <c r="K92" s="161"/>
      <c r="L92" s="158"/>
      <c r="M92" s="158"/>
      <c r="N92" s="158"/>
      <c r="O92" s="162" t="s">
        <v>30</v>
      </c>
      <c r="P92" s="154"/>
      <c r="Q92" s="154"/>
      <c r="R92" s="154"/>
      <c r="S92" s="163"/>
    </row>
    <row r="93" spans="1:19" ht="15.75" x14ac:dyDescent="0.25">
      <c r="A93" s="164"/>
      <c r="B93" s="156"/>
      <c r="C93" s="156"/>
      <c r="D93" s="165"/>
      <c r="E93" s="166">
        <v>1010</v>
      </c>
      <c r="F93" s="166">
        <v>1020</v>
      </c>
      <c r="G93" s="166">
        <v>1040</v>
      </c>
      <c r="H93" s="166">
        <v>1050</v>
      </c>
      <c r="I93" s="288">
        <v>1060</v>
      </c>
      <c r="J93" s="166">
        <v>1070</v>
      </c>
      <c r="K93" s="166">
        <v>1080</v>
      </c>
      <c r="L93" s="166">
        <v>1090</v>
      </c>
      <c r="M93" s="166">
        <v>2000</v>
      </c>
      <c r="N93" s="166">
        <v>3000</v>
      </c>
      <c r="O93" s="167"/>
      <c r="P93" s="154"/>
      <c r="Q93" s="154"/>
      <c r="R93" s="154"/>
      <c r="S93" s="168"/>
    </row>
    <row r="94" spans="1:19" ht="16.5" thickBot="1" x14ac:dyDescent="0.3">
      <c r="A94" s="164"/>
      <c r="B94" s="169"/>
      <c r="C94" s="169"/>
      <c r="D94" s="170"/>
      <c r="E94" s="171" t="s">
        <v>5</v>
      </c>
      <c r="F94" s="172" t="s">
        <v>6</v>
      </c>
      <c r="G94" s="172" t="s">
        <v>7</v>
      </c>
      <c r="H94" s="172" t="s">
        <v>8</v>
      </c>
      <c r="I94" s="289" t="s">
        <v>9</v>
      </c>
      <c r="J94" s="172" t="s">
        <v>10</v>
      </c>
      <c r="K94" s="172" t="s">
        <v>11</v>
      </c>
      <c r="L94" s="172" t="s">
        <v>12</v>
      </c>
      <c r="M94" s="172" t="s">
        <v>13</v>
      </c>
      <c r="N94" s="172" t="s">
        <v>14</v>
      </c>
      <c r="O94" s="173" t="s">
        <v>60</v>
      </c>
      <c r="P94" s="154"/>
      <c r="Q94" s="154"/>
      <c r="R94" s="154"/>
      <c r="S94" s="168"/>
    </row>
    <row r="95" spans="1:19" x14ac:dyDescent="0.25">
      <c r="A95" s="174" t="s">
        <v>150</v>
      </c>
      <c r="B95" s="175"/>
      <c r="C95" s="175"/>
      <c r="D95" s="176"/>
      <c r="E95" s="91">
        <v>314107</v>
      </c>
      <c r="F95" s="91"/>
      <c r="G95" s="91">
        <v>347131</v>
      </c>
      <c r="H95" s="91">
        <v>110455</v>
      </c>
      <c r="I95" s="284">
        <v>377</v>
      </c>
      <c r="J95" s="91">
        <v>78976</v>
      </c>
      <c r="K95" s="91">
        <v>3250</v>
      </c>
      <c r="L95" s="91">
        <v>69979</v>
      </c>
      <c r="M95" s="91">
        <v>1144273</v>
      </c>
      <c r="N95" s="91">
        <v>310180</v>
      </c>
      <c r="O95" s="177">
        <f>SUM(E95:N95)</f>
        <v>2378728</v>
      </c>
      <c r="P95" s="154"/>
      <c r="Q95" s="154"/>
      <c r="R95" s="154"/>
      <c r="S95" s="168"/>
    </row>
    <row r="96" spans="1:19" x14ac:dyDescent="0.25">
      <c r="A96" s="178" t="s">
        <v>151</v>
      </c>
      <c r="B96" s="179"/>
      <c r="C96" s="179"/>
      <c r="D96" s="180"/>
      <c r="E96" s="62">
        <v>84158</v>
      </c>
      <c r="F96" s="62"/>
      <c r="G96" s="62">
        <v>89003</v>
      </c>
      <c r="H96" s="62">
        <v>104607</v>
      </c>
      <c r="I96" s="285">
        <v>-15</v>
      </c>
      <c r="J96" s="62">
        <v>62998</v>
      </c>
      <c r="K96" s="62">
        <v>6768</v>
      </c>
      <c r="L96" s="62">
        <v>32963</v>
      </c>
      <c r="M96" s="62">
        <v>119060</v>
      </c>
      <c r="N96" s="62">
        <v>404081</v>
      </c>
      <c r="O96" s="181">
        <f t="shared" ref="O96" si="34">SUM(E96:N96)</f>
        <v>903623</v>
      </c>
      <c r="P96" s="154"/>
      <c r="Q96" s="154"/>
      <c r="R96" s="154"/>
      <c r="S96" s="168"/>
    </row>
    <row r="97" spans="1:19" x14ac:dyDescent="0.25">
      <c r="A97" s="178" t="s">
        <v>152</v>
      </c>
      <c r="B97" s="179"/>
      <c r="C97" s="179"/>
      <c r="D97" s="180"/>
      <c r="E97" s="62">
        <v>261268</v>
      </c>
      <c r="F97" s="62"/>
      <c r="G97" s="62"/>
      <c r="H97" s="62"/>
      <c r="I97" s="285"/>
      <c r="J97" s="62"/>
      <c r="K97" s="62"/>
      <c r="L97" s="62"/>
      <c r="M97" s="62"/>
      <c r="N97" s="62"/>
      <c r="O97" s="181">
        <f>SUM(E97:N97)</f>
        <v>261268</v>
      </c>
      <c r="P97" s="154"/>
      <c r="Q97" s="154"/>
      <c r="R97" s="154"/>
      <c r="S97" s="168"/>
    </row>
    <row r="98" spans="1:19" ht="15.75" thickBot="1" x14ac:dyDescent="0.3">
      <c r="A98" s="182" t="s">
        <v>153</v>
      </c>
      <c r="B98" s="183"/>
      <c r="C98" s="183"/>
      <c r="D98" s="184"/>
      <c r="E98" s="185">
        <f>SUM(E95:E97)</f>
        <v>659533</v>
      </c>
      <c r="F98" s="185">
        <f t="shared" ref="F98:O98" si="35">SUM(F95:F97)</f>
        <v>0</v>
      </c>
      <c r="G98" s="185">
        <f t="shared" si="35"/>
        <v>436134</v>
      </c>
      <c r="H98" s="185">
        <f t="shared" si="35"/>
        <v>215062</v>
      </c>
      <c r="I98" s="290">
        <f t="shared" si="35"/>
        <v>362</v>
      </c>
      <c r="J98" s="185">
        <f t="shared" si="35"/>
        <v>141974</v>
      </c>
      <c r="K98" s="185">
        <f t="shared" si="35"/>
        <v>10018</v>
      </c>
      <c r="L98" s="185">
        <f t="shared" si="35"/>
        <v>102942</v>
      </c>
      <c r="M98" s="185">
        <f t="shared" si="35"/>
        <v>1263333</v>
      </c>
      <c r="N98" s="185">
        <f t="shared" si="35"/>
        <v>714261</v>
      </c>
      <c r="O98" s="186">
        <f t="shared" si="35"/>
        <v>3543619</v>
      </c>
      <c r="P98" s="154">
        <f>SUM(E98:N98)</f>
        <v>3543619</v>
      </c>
      <c r="Q98" s="154">
        <f>SUM(O95:O97)</f>
        <v>3543619</v>
      </c>
      <c r="R98" s="154"/>
      <c r="S98" s="168"/>
    </row>
    <row r="99" spans="1:19" ht="15.75" thickBot="1" x14ac:dyDescent="0.3">
      <c r="A99" s="187"/>
      <c r="B99" s="188"/>
      <c r="C99" s="188"/>
      <c r="D99" s="189"/>
      <c r="E99" s="190"/>
      <c r="F99" s="190"/>
      <c r="G99" s="190"/>
      <c r="H99" s="190"/>
      <c r="I99" s="291"/>
      <c r="J99" s="190"/>
      <c r="K99" s="190"/>
      <c r="L99" s="190"/>
      <c r="M99" s="190"/>
      <c r="N99" s="190"/>
      <c r="O99" s="190"/>
      <c r="P99" s="191"/>
      <c r="Q99" s="191"/>
      <c r="R99" s="191"/>
      <c r="S99" s="192"/>
    </row>
    <row r="100" spans="1:19" ht="15.75" thickBot="1" x14ac:dyDescent="0.3">
      <c r="A100" s="193" t="s">
        <v>154</v>
      </c>
      <c r="B100" s="194"/>
      <c r="C100" s="194"/>
      <c r="D100" s="195"/>
      <c r="E100" s="196">
        <f>E96</f>
        <v>84158</v>
      </c>
      <c r="F100" s="196">
        <f t="shared" ref="F100:N100" si="36">F96</f>
        <v>0</v>
      </c>
      <c r="G100" s="196">
        <f t="shared" si="36"/>
        <v>89003</v>
      </c>
      <c r="H100" s="196">
        <f t="shared" si="36"/>
        <v>104607</v>
      </c>
      <c r="I100" s="196">
        <f t="shared" si="36"/>
        <v>-15</v>
      </c>
      <c r="J100" s="196">
        <f t="shared" si="36"/>
        <v>62998</v>
      </c>
      <c r="K100" s="196">
        <f t="shared" si="36"/>
        <v>6768</v>
      </c>
      <c r="L100" s="196">
        <f t="shared" si="36"/>
        <v>32963</v>
      </c>
      <c r="M100" s="196">
        <f t="shared" si="36"/>
        <v>119060</v>
      </c>
      <c r="N100" s="196">
        <f t="shared" si="36"/>
        <v>404081</v>
      </c>
      <c r="O100" s="197">
        <f t="shared" ref="O100" si="37">SUM(E100:N100)</f>
        <v>903623</v>
      </c>
      <c r="P100" s="154"/>
      <c r="Q100" s="154"/>
      <c r="R100" s="154"/>
      <c r="S100" s="168"/>
    </row>
    <row r="101" spans="1:19" x14ac:dyDescent="0.25">
      <c r="A101" s="198" t="s">
        <v>84</v>
      </c>
      <c r="B101" s="199"/>
      <c r="C101" s="199"/>
      <c r="D101" s="200"/>
      <c r="E101" s="94">
        <f>E83</f>
        <v>78942.320999999996</v>
      </c>
      <c r="F101" s="94">
        <f t="shared" ref="F101:N101" si="38">F83</f>
        <v>0</v>
      </c>
      <c r="G101" s="94">
        <f t="shared" si="38"/>
        <v>19720.083000000002</v>
      </c>
      <c r="H101" s="94">
        <f t="shared" si="38"/>
        <v>-19050.244999999999</v>
      </c>
      <c r="I101" s="94">
        <f t="shared" si="38"/>
        <v>205.131</v>
      </c>
      <c r="J101" s="94">
        <f t="shared" si="38"/>
        <v>-44157.552000000011</v>
      </c>
      <c r="K101" s="94">
        <f t="shared" si="38"/>
        <v>-5447.1200000000008</v>
      </c>
      <c r="L101" s="94">
        <f t="shared" si="38"/>
        <v>30527.276999999969</v>
      </c>
      <c r="M101" s="94">
        <f t="shared" si="38"/>
        <v>64119.589000000022</v>
      </c>
      <c r="N101" s="94">
        <f t="shared" si="38"/>
        <v>132295.69999999998</v>
      </c>
      <c r="O101" s="201">
        <f>SUM(E101:N101)</f>
        <v>257155.18399999995</v>
      </c>
      <c r="P101" s="154"/>
      <c r="Q101" s="154"/>
      <c r="R101" s="154"/>
      <c r="S101" s="168"/>
    </row>
    <row r="102" spans="1:19" x14ac:dyDescent="0.25">
      <c r="A102" s="178" t="s">
        <v>94</v>
      </c>
      <c r="B102" s="179"/>
      <c r="C102" s="179"/>
      <c r="D102" s="180"/>
      <c r="E102" s="62">
        <f>E113*-1</f>
        <v>0</v>
      </c>
      <c r="F102" s="62">
        <f t="shared" ref="F102:N102" si="39">F113*-1</f>
        <v>0</v>
      </c>
      <c r="G102" s="62">
        <f t="shared" si="39"/>
        <v>-53400</v>
      </c>
      <c r="H102" s="62">
        <f t="shared" si="39"/>
        <v>0</v>
      </c>
      <c r="I102" s="62">
        <f t="shared" si="39"/>
        <v>0</v>
      </c>
      <c r="J102" s="62">
        <f t="shared" si="39"/>
        <v>0</v>
      </c>
      <c r="K102" s="62">
        <f t="shared" si="39"/>
        <v>0</v>
      </c>
      <c r="L102" s="62">
        <f t="shared" si="39"/>
        <v>-10000</v>
      </c>
      <c r="M102" s="62">
        <f t="shared" si="39"/>
        <v>-8500</v>
      </c>
      <c r="N102" s="62">
        <f t="shared" si="39"/>
        <v>-15000</v>
      </c>
      <c r="O102" s="181">
        <f>SUM(E102:N102)</f>
        <v>-86900</v>
      </c>
      <c r="P102" s="154"/>
      <c r="Q102" s="154"/>
      <c r="R102" s="154"/>
      <c r="S102" s="168"/>
    </row>
    <row r="103" spans="1:19" x14ac:dyDescent="0.25">
      <c r="A103" s="178" t="s">
        <v>134</v>
      </c>
      <c r="B103" s="179"/>
      <c r="C103" s="179"/>
      <c r="D103" s="180"/>
      <c r="E103" s="62"/>
      <c r="F103" s="62"/>
      <c r="G103" s="62"/>
      <c r="H103" s="205">
        <v>-3292</v>
      </c>
      <c r="I103" s="293">
        <v>-977</v>
      </c>
      <c r="J103" s="205">
        <v>-1897</v>
      </c>
      <c r="K103" s="205">
        <v>-47</v>
      </c>
      <c r="L103" s="205">
        <v>-10912</v>
      </c>
      <c r="M103" s="205">
        <v>-28927</v>
      </c>
      <c r="N103" s="205">
        <v>-128287</v>
      </c>
      <c r="O103" s="181">
        <f>SUM(E103:N103)</f>
        <v>-174339</v>
      </c>
      <c r="P103" s="154"/>
      <c r="Q103" s="154"/>
      <c r="R103" s="154"/>
      <c r="S103" s="168"/>
    </row>
    <row r="104" spans="1:19" ht="15.75" thickBot="1" x14ac:dyDescent="0.3">
      <c r="A104" s="202" t="s">
        <v>95</v>
      </c>
      <c r="B104" s="203"/>
      <c r="C104" s="203"/>
      <c r="D104" s="204"/>
      <c r="E104" s="205">
        <v>-106000</v>
      </c>
      <c r="F104" s="205"/>
      <c r="G104" s="205"/>
      <c r="H104" s="205">
        <v>0</v>
      </c>
      <c r="I104" s="293">
        <v>0</v>
      </c>
      <c r="J104" s="205">
        <v>0</v>
      </c>
      <c r="K104" s="205">
        <v>0</v>
      </c>
      <c r="L104" s="205">
        <v>0</v>
      </c>
      <c r="M104" s="205">
        <v>0</v>
      </c>
      <c r="N104" s="205">
        <v>0</v>
      </c>
      <c r="O104" s="206">
        <f>SUM(E104:N104)</f>
        <v>-106000</v>
      </c>
      <c r="P104" s="154"/>
      <c r="Q104" s="154"/>
      <c r="R104" s="154"/>
      <c r="S104" s="168"/>
    </row>
    <row r="105" spans="1:19" ht="15.75" thickBot="1" x14ac:dyDescent="0.3">
      <c r="A105" s="193" t="s">
        <v>155</v>
      </c>
      <c r="B105" s="194"/>
      <c r="C105" s="194"/>
      <c r="D105" s="195"/>
      <c r="E105" s="196">
        <f>SUM(E100:E104)</f>
        <v>57100.320999999996</v>
      </c>
      <c r="F105" s="196">
        <f t="shared" ref="F105:O105" si="40">SUM(F100:F104)</f>
        <v>0</v>
      </c>
      <c r="G105" s="196">
        <f t="shared" si="40"/>
        <v>55323.082999999999</v>
      </c>
      <c r="H105" s="196">
        <f t="shared" si="40"/>
        <v>82264.755000000005</v>
      </c>
      <c r="I105" s="292">
        <f t="shared" si="40"/>
        <v>-786.86900000000003</v>
      </c>
      <c r="J105" s="196">
        <f t="shared" si="40"/>
        <v>16943.447999999989</v>
      </c>
      <c r="K105" s="196">
        <f t="shared" si="40"/>
        <v>1273.8799999999992</v>
      </c>
      <c r="L105" s="196">
        <f t="shared" si="40"/>
        <v>42578.276999999973</v>
      </c>
      <c r="M105" s="196">
        <f t="shared" si="40"/>
        <v>145752.58900000004</v>
      </c>
      <c r="N105" s="196">
        <f t="shared" si="40"/>
        <v>393089.69999999995</v>
      </c>
      <c r="O105" s="197">
        <f t="shared" si="40"/>
        <v>793539.18399999989</v>
      </c>
      <c r="P105" s="154">
        <f>SUM(E105:N105)</f>
        <v>793539.18399999989</v>
      </c>
      <c r="Q105" s="154">
        <f>SUM(O100:O104)</f>
        <v>793539.18399999989</v>
      </c>
      <c r="R105" s="154"/>
      <c r="S105" s="168"/>
    </row>
    <row r="106" spans="1:19" ht="15.75" thickBot="1" x14ac:dyDescent="0.3">
      <c r="A106" s="187"/>
      <c r="B106" s="188"/>
      <c r="C106" s="188"/>
      <c r="D106" s="189"/>
      <c r="E106" s="190"/>
      <c r="F106" s="190"/>
      <c r="G106" s="190"/>
      <c r="H106" s="190"/>
      <c r="I106" s="291"/>
      <c r="J106" s="190"/>
      <c r="K106" s="190"/>
      <c r="L106" s="190"/>
      <c r="M106" s="190"/>
      <c r="N106" s="190"/>
      <c r="O106" s="190"/>
      <c r="P106" s="191"/>
      <c r="Q106" s="191"/>
      <c r="R106" s="191"/>
      <c r="S106" s="192"/>
    </row>
    <row r="107" spans="1:19" ht="15.75" thickBot="1" x14ac:dyDescent="0.3">
      <c r="A107" s="207" t="s">
        <v>94</v>
      </c>
      <c r="B107" s="196"/>
      <c r="C107" s="196"/>
      <c r="D107" s="208"/>
      <c r="E107" s="196"/>
      <c r="F107" s="196"/>
      <c r="G107" s="196"/>
      <c r="H107" s="196"/>
      <c r="I107" s="292"/>
      <c r="J107" s="196"/>
      <c r="K107" s="196"/>
      <c r="L107" s="196"/>
      <c r="M107" s="196"/>
      <c r="N107" s="196"/>
      <c r="O107" s="197"/>
      <c r="P107" s="209"/>
      <c r="Q107" s="209"/>
      <c r="R107" s="211"/>
      <c r="S107" s="168"/>
    </row>
    <row r="108" spans="1:19" x14ac:dyDescent="0.25">
      <c r="A108" s="93" t="s">
        <v>96</v>
      </c>
      <c r="B108" s="97">
        <v>55604</v>
      </c>
      <c r="C108" s="97"/>
      <c r="D108" s="212"/>
      <c r="E108" s="216">
        <v>0</v>
      </c>
      <c r="F108" s="216">
        <v>0</v>
      </c>
      <c r="G108" s="216">
        <v>0</v>
      </c>
      <c r="H108" s="216">
        <v>0</v>
      </c>
      <c r="I108" s="286">
        <v>0</v>
      </c>
      <c r="J108" s="216">
        <v>0</v>
      </c>
      <c r="K108" s="216">
        <v>0</v>
      </c>
      <c r="L108" s="216">
        <v>0</v>
      </c>
      <c r="M108" s="216">
        <v>8500</v>
      </c>
      <c r="N108" s="216">
        <v>0</v>
      </c>
      <c r="O108" s="280">
        <f t="shared" ref="O108:O112" si="41">SUM(E108:N108)</f>
        <v>8500</v>
      </c>
      <c r="P108" s="209"/>
      <c r="Q108" s="209"/>
      <c r="R108" s="211"/>
      <c r="S108" s="168"/>
    </row>
    <row r="109" spans="1:19" x14ac:dyDescent="0.25">
      <c r="A109" s="257" t="s">
        <v>129</v>
      </c>
      <c r="B109" s="63">
        <v>5000</v>
      </c>
      <c r="C109" s="63"/>
      <c r="D109" s="137"/>
      <c r="E109" s="84"/>
      <c r="F109" s="84"/>
      <c r="G109" s="84"/>
      <c r="H109" s="84"/>
      <c r="I109" s="285"/>
      <c r="J109" s="84"/>
      <c r="K109" s="84"/>
      <c r="L109" s="84">
        <v>10000</v>
      </c>
      <c r="M109" s="84"/>
      <c r="N109" s="84"/>
      <c r="O109" s="280">
        <f t="shared" si="41"/>
        <v>10000</v>
      </c>
      <c r="P109" s="209"/>
      <c r="Q109" s="209"/>
      <c r="R109" s="211"/>
      <c r="S109" s="168"/>
    </row>
    <row r="110" spans="1:19" x14ac:dyDescent="0.25">
      <c r="A110" s="257" t="s">
        <v>130</v>
      </c>
      <c r="B110" s="63">
        <v>0</v>
      </c>
      <c r="C110" s="63"/>
      <c r="D110" s="137"/>
      <c r="E110" s="84"/>
      <c r="F110" s="84"/>
      <c r="G110" s="84"/>
      <c r="H110" s="84"/>
      <c r="I110" s="285"/>
      <c r="J110" s="84"/>
      <c r="K110" s="84"/>
      <c r="L110" s="84"/>
      <c r="M110" s="84"/>
      <c r="N110" s="84">
        <v>15000</v>
      </c>
      <c r="O110" s="280">
        <f t="shared" si="41"/>
        <v>15000</v>
      </c>
      <c r="P110" s="209"/>
      <c r="Q110" s="209"/>
      <c r="R110" s="211"/>
      <c r="S110" s="168"/>
    </row>
    <row r="111" spans="1:19" x14ac:dyDescent="0.25">
      <c r="A111" s="257" t="s">
        <v>131</v>
      </c>
      <c r="B111" s="63"/>
      <c r="C111" s="63"/>
      <c r="D111" s="137"/>
      <c r="E111" s="321">
        <v>0</v>
      </c>
      <c r="F111" s="223"/>
      <c r="G111" s="223"/>
      <c r="H111" s="223"/>
      <c r="I111" s="294"/>
      <c r="J111" s="223"/>
      <c r="K111" s="223"/>
      <c r="L111" s="223"/>
      <c r="M111" s="223"/>
      <c r="N111" s="223"/>
      <c r="O111" s="280">
        <f t="shared" si="41"/>
        <v>0</v>
      </c>
      <c r="P111" s="209"/>
      <c r="Q111" s="209"/>
      <c r="R111" s="211"/>
      <c r="S111" s="168"/>
    </row>
    <row r="112" spans="1:19" x14ac:dyDescent="0.25">
      <c r="A112" s="257" t="s">
        <v>132</v>
      </c>
      <c r="B112" s="63"/>
      <c r="C112" s="63"/>
      <c r="D112" s="137"/>
      <c r="E112" s="84"/>
      <c r="F112" s="84">
        <v>0</v>
      </c>
      <c r="G112" s="84">
        <v>53400</v>
      </c>
      <c r="H112" s="84"/>
      <c r="I112" s="285"/>
      <c r="J112" s="84"/>
      <c r="K112" s="84"/>
      <c r="L112" s="84"/>
      <c r="M112" s="84"/>
      <c r="N112" s="84"/>
      <c r="O112" s="280">
        <f t="shared" si="41"/>
        <v>53400</v>
      </c>
      <c r="P112" s="209"/>
      <c r="Q112" s="209"/>
      <c r="R112" s="209"/>
      <c r="S112" s="168"/>
    </row>
    <row r="113" spans="1:19" ht="15.75" thickBot="1" x14ac:dyDescent="0.3">
      <c r="A113" s="213" t="s">
        <v>97</v>
      </c>
      <c r="B113" s="185" t="e">
        <f>SUM(#REF!+B108)</f>
        <v>#REF!</v>
      </c>
      <c r="C113" s="185"/>
      <c r="D113" s="214"/>
      <c r="E113" s="185">
        <f>SUM(E108:E112)</f>
        <v>0</v>
      </c>
      <c r="F113" s="185">
        <f t="shared" ref="F113:N113" si="42">SUM(F108:F112)</f>
        <v>0</v>
      </c>
      <c r="G113" s="185">
        <f t="shared" si="42"/>
        <v>53400</v>
      </c>
      <c r="H113" s="185">
        <f t="shared" si="42"/>
        <v>0</v>
      </c>
      <c r="I113" s="185">
        <f t="shared" si="42"/>
        <v>0</v>
      </c>
      <c r="J113" s="185">
        <f t="shared" si="42"/>
        <v>0</v>
      </c>
      <c r="K113" s="185">
        <f t="shared" si="42"/>
        <v>0</v>
      </c>
      <c r="L113" s="185">
        <f t="shared" si="42"/>
        <v>10000</v>
      </c>
      <c r="M113" s="185">
        <f t="shared" si="42"/>
        <v>8500</v>
      </c>
      <c r="N113" s="185">
        <f t="shared" si="42"/>
        <v>15000</v>
      </c>
      <c r="O113" s="186">
        <f>SUM(E113:N113)</f>
        <v>86900</v>
      </c>
      <c r="P113" s="209"/>
      <c r="Q113" s="209"/>
      <c r="R113" s="211"/>
      <c r="S113" s="209"/>
    </row>
    <row r="114" spans="1:19" ht="15.75" thickBot="1" x14ac:dyDescent="0.3">
      <c r="A114" s="207" t="s">
        <v>98</v>
      </c>
      <c r="B114" s="196"/>
      <c r="C114" s="196"/>
      <c r="D114" s="208"/>
      <c r="E114" s="196"/>
      <c r="F114" s="196"/>
      <c r="G114" s="196"/>
      <c r="H114" s="196"/>
      <c r="I114" s="292"/>
      <c r="J114" s="196"/>
      <c r="K114" s="196"/>
      <c r="L114" s="196"/>
      <c r="M114" s="196"/>
      <c r="N114" s="196"/>
      <c r="O114" s="197"/>
      <c r="P114" s="209"/>
      <c r="Q114" s="209"/>
      <c r="R114" s="211"/>
      <c r="S114" s="209"/>
    </row>
    <row r="115" spans="1:19" x14ac:dyDescent="0.25">
      <c r="A115" s="215" t="s">
        <v>99</v>
      </c>
      <c r="B115" s="216"/>
      <c r="C115" s="216"/>
      <c r="D115" s="217"/>
      <c r="E115" s="218">
        <v>0</v>
      </c>
      <c r="F115" s="218">
        <v>0</v>
      </c>
      <c r="G115" s="218">
        <v>0</v>
      </c>
      <c r="H115" s="218">
        <v>0</v>
      </c>
      <c r="I115" s="295">
        <v>0</v>
      </c>
      <c r="J115" s="218">
        <v>0</v>
      </c>
      <c r="K115" s="218">
        <v>0</v>
      </c>
      <c r="L115" s="218">
        <v>0</v>
      </c>
      <c r="M115" s="218">
        <v>0</v>
      </c>
      <c r="N115" s="218">
        <v>0</v>
      </c>
      <c r="O115" s="219">
        <v>0</v>
      </c>
      <c r="P115" s="220"/>
      <c r="Q115" s="220"/>
      <c r="R115" s="220"/>
      <c r="S115" s="220"/>
    </row>
    <row r="116" spans="1:19" x14ac:dyDescent="0.25">
      <c r="A116" s="221" t="s">
        <v>100</v>
      </c>
      <c r="B116" s="84"/>
      <c r="C116" s="84"/>
      <c r="D116" s="222"/>
      <c r="E116" s="223">
        <v>0</v>
      </c>
      <c r="F116" s="223">
        <v>0</v>
      </c>
      <c r="G116" s="223">
        <v>0</v>
      </c>
      <c r="H116" s="223">
        <v>0</v>
      </c>
      <c r="I116" s="294">
        <v>0</v>
      </c>
      <c r="J116" s="223">
        <v>0</v>
      </c>
      <c r="K116" s="223">
        <v>0</v>
      </c>
      <c r="L116" s="223">
        <v>0</v>
      </c>
      <c r="M116" s="223">
        <v>0</v>
      </c>
      <c r="N116" s="223">
        <v>0</v>
      </c>
      <c r="O116" s="224">
        <v>0</v>
      </c>
      <c r="P116" s="220"/>
      <c r="Q116" s="220"/>
      <c r="R116" s="220"/>
      <c r="S116" s="220"/>
    </row>
    <row r="117" spans="1:19" ht="15.75" thickBot="1" x14ac:dyDescent="0.3">
      <c r="A117" s="213" t="s">
        <v>101</v>
      </c>
      <c r="B117" s="185"/>
      <c r="C117" s="185"/>
      <c r="D117" s="214"/>
      <c r="E117" s="225">
        <f t="shared" ref="E117:O117" si="43">E115-E116</f>
        <v>0</v>
      </c>
      <c r="F117" s="225">
        <f t="shared" si="43"/>
        <v>0</v>
      </c>
      <c r="G117" s="225">
        <f t="shared" si="43"/>
        <v>0</v>
      </c>
      <c r="H117" s="225">
        <f t="shared" si="43"/>
        <v>0</v>
      </c>
      <c r="I117" s="296">
        <f t="shared" si="43"/>
        <v>0</v>
      </c>
      <c r="J117" s="225">
        <f t="shared" si="43"/>
        <v>0</v>
      </c>
      <c r="K117" s="225">
        <f t="shared" si="43"/>
        <v>0</v>
      </c>
      <c r="L117" s="225">
        <f t="shared" si="43"/>
        <v>0</v>
      </c>
      <c r="M117" s="225">
        <f t="shared" si="43"/>
        <v>0</v>
      </c>
      <c r="N117" s="225">
        <f t="shared" si="43"/>
        <v>0</v>
      </c>
      <c r="O117" s="226">
        <f t="shared" si="43"/>
        <v>0</v>
      </c>
      <c r="P117" s="220"/>
      <c r="Q117" s="220"/>
      <c r="R117" s="220"/>
      <c r="S117" s="220"/>
    </row>
    <row r="118" spans="1:19" ht="15.75" thickBot="1" x14ac:dyDescent="0.3">
      <c r="A118" s="207" t="s">
        <v>102</v>
      </c>
      <c r="B118" s="227"/>
      <c r="C118" s="227"/>
      <c r="D118" s="228"/>
      <c r="E118" s="227"/>
      <c r="F118" s="227"/>
      <c r="G118" s="227"/>
      <c r="H118" s="227"/>
      <c r="I118" s="297"/>
      <c r="J118" s="227"/>
      <c r="K118" s="227"/>
      <c r="L118" s="227"/>
      <c r="M118" s="227"/>
      <c r="N118" s="227"/>
      <c r="O118" s="197"/>
      <c r="P118" s="209"/>
      <c r="Q118" s="209"/>
      <c r="R118" s="211"/>
      <c r="S118" s="168"/>
    </row>
    <row r="119" spans="1:19" x14ac:dyDescent="0.25">
      <c r="A119" s="93" t="s">
        <v>103</v>
      </c>
      <c r="B119" s="229">
        <v>0</v>
      </c>
      <c r="C119" s="229"/>
      <c r="D119" s="230"/>
      <c r="E119" s="231">
        <v>0</v>
      </c>
      <c r="F119" s="231">
        <v>0</v>
      </c>
      <c r="G119" s="232">
        <v>0</v>
      </c>
      <c r="H119" s="232">
        <v>0</v>
      </c>
      <c r="I119" s="298">
        <v>0</v>
      </c>
      <c r="J119" s="232">
        <v>0</v>
      </c>
      <c r="K119" s="232">
        <v>0</v>
      </c>
      <c r="L119" s="232">
        <v>0</v>
      </c>
      <c r="M119" s="232">
        <v>13985.95</v>
      </c>
      <c r="N119" s="232">
        <v>6917</v>
      </c>
      <c r="O119" s="233">
        <f>SUM(E119:N119)</f>
        <v>20902.95</v>
      </c>
      <c r="P119" s="234"/>
      <c r="Q119" s="234"/>
      <c r="R119" s="211"/>
      <c r="S119" s="168"/>
    </row>
    <row r="120" spans="1:19" x14ac:dyDescent="0.25">
      <c r="A120" s="56" t="s">
        <v>104</v>
      </c>
      <c r="B120" s="235">
        <v>70000</v>
      </c>
      <c r="C120" s="235"/>
      <c r="D120" s="236"/>
      <c r="E120" s="235">
        <v>106000</v>
      </c>
      <c r="F120" s="63">
        <v>0</v>
      </c>
      <c r="G120" s="84">
        <v>0</v>
      </c>
      <c r="H120" s="84">
        <v>3075</v>
      </c>
      <c r="I120" s="285">
        <v>0</v>
      </c>
      <c r="J120" s="84">
        <v>1665</v>
      </c>
      <c r="K120" s="84">
        <v>0</v>
      </c>
      <c r="L120" s="237">
        <v>0</v>
      </c>
      <c r="M120" s="84">
        <v>0</v>
      </c>
      <c r="N120" s="84">
        <v>0</v>
      </c>
      <c r="O120" s="238">
        <f>SUM(E120:N120)</f>
        <v>110740</v>
      </c>
      <c r="P120" s="234"/>
      <c r="Q120" s="234"/>
      <c r="R120" s="211"/>
      <c r="S120" s="168"/>
    </row>
    <row r="121" spans="1:19" x14ac:dyDescent="0.25">
      <c r="A121" s="56" t="s">
        <v>105</v>
      </c>
      <c r="B121" s="235"/>
      <c r="C121" s="235"/>
      <c r="D121" s="236"/>
      <c r="E121" s="63">
        <v>0</v>
      </c>
      <c r="F121" s="63">
        <v>0</v>
      </c>
      <c r="G121" s="84">
        <v>0</v>
      </c>
      <c r="H121" s="84">
        <v>0</v>
      </c>
      <c r="I121" s="285">
        <v>0</v>
      </c>
      <c r="J121" s="84">
        <v>0</v>
      </c>
      <c r="K121" s="84">
        <v>0</v>
      </c>
      <c r="L121" s="84">
        <v>5755</v>
      </c>
      <c r="M121" s="84">
        <v>31180</v>
      </c>
      <c r="N121" s="84">
        <v>118995</v>
      </c>
      <c r="O121" s="239">
        <f>SUM(E121:N121)</f>
        <v>155930</v>
      </c>
      <c r="P121" s="234"/>
      <c r="Q121" s="234"/>
      <c r="R121" s="211"/>
      <c r="S121" s="168"/>
    </row>
    <row r="122" spans="1:19" x14ac:dyDescent="0.25">
      <c r="A122" s="56" t="s">
        <v>106</v>
      </c>
      <c r="B122" s="63">
        <v>0</v>
      </c>
      <c r="C122" s="63"/>
      <c r="D122" s="137"/>
      <c r="E122" s="63">
        <v>0</v>
      </c>
      <c r="F122" s="63">
        <v>0</v>
      </c>
      <c r="G122" s="84">
        <v>0</v>
      </c>
      <c r="H122" s="84">
        <v>217</v>
      </c>
      <c r="I122" s="285">
        <v>977</v>
      </c>
      <c r="J122" s="84">
        <v>232</v>
      </c>
      <c r="K122" s="84">
        <v>47</v>
      </c>
      <c r="L122" s="84">
        <f>L12/8/5</f>
        <v>9915.8250000000007</v>
      </c>
      <c r="M122" s="84">
        <f>M12/8/5</f>
        <v>13035.35</v>
      </c>
      <c r="N122" s="84">
        <f>N12/8/5</f>
        <v>15017.75</v>
      </c>
      <c r="O122" s="239">
        <f>SUM(F122:N122)</f>
        <v>39441.925000000003</v>
      </c>
      <c r="P122" s="209"/>
      <c r="Q122" s="209"/>
      <c r="R122" s="211"/>
      <c r="S122" s="168"/>
    </row>
    <row r="123" spans="1:19" x14ac:dyDescent="0.25">
      <c r="A123" s="56" t="s">
        <v>107</v>
      </c>
      <c r="B123" s="63"/>
      <c r="C123" s="63"/>
      <c r="D123" s="137"/>
      <c r="E123" s="63">
        <v>0</v>
      </c>
      <c r="F123" s="63">
        <v>0</v>
      </c>
      <c r="G123" s="63">
        <v>0</v>
      </c>
      <c r="H123" s="63">
        <v>0</v>
      </c>
      <c r="I123" s="285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239">
        <f>SUM(F123:N123)</f>
        <v>0</v>
      </c>
      <c r="P123" s="209"/>
      <c r="Q123" s="209"/>
      <c r="R123" s="211"/>
      <c r="S123" s="168"/>
    </row>
    <row r="124" spans="1:19" ht="15.75" thickBot="1" x14ac:dyDescent="0.3">
      <c r="A124" s="240" t="s">
        <v>108</v>
      </c>
      <c r="B124" s="44">
        <v>0</v>
      </c>
      <c r="C124" s="44"/>
      <c r="D124" s="45"/>
      <c r="E124" s="44"/>
      <c r="F124" s="44">
        <v>0</v>
      </c>
      <c r="G124" s="44">
        <v>0</v>
      </c>
      <c r="H124" s="44">
        <v>0</v>
      </c>
      <c r="I124" s="293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241">
        <v>0</v>
      </c>
      <c r="P124" s="209"/>
      <c r="Q124" s="209"/>
      <c r="R124" s="210"/>
      <c r="S124" s="168"/>
    </row>
    <row r="125" spans="1:19" ht="15.75" thickBot="1" x14ac:dyDescent="0.3">
      <c r="A125" s="193" t="s">
        <v>109</v>
      </c>
      <c r="B125" s="196"/>
      <c r="C125" s="196"/>
      <c r="D125" s="208"/>
      <c r="E125" s="196">
        <v>0</v>
      </c>
      <c r="F125" s="196">
        <f t="shared" ref="F125:N125" si="44">SUM(F119:F124)</f>
        <v>0</v>
      </c>
      <c r="G125" s="196">
        <f t="shared" si="44"/>
        <v>0</v>
      </c>
      <c r="H125" s="196">
        <f t="shared" si="44"/>
        <v>3292</v>
      </c>
      <c r="I125" s="292">
        <f t="shared" si="44"/>
        <v>977</v>
      </c>
      <c r="J125" s="196">
        <f t="shared" si="44"/>
        <v>1897</v>
      </c>
      <c r="K125" s="196">
        <f t="shared" si="44"/>
        <v>47</v>
      </c>
      <c r="L125" s="196">
        <f t="shared" si="44"/>
        <v>15670.825000000001</v>
      </c>
      <c r="M125" s="196">
        <f t="shared" si="44"/>
        <v>58201.299999999996</v>
      </c>
      <c r="N125" s="196">
        <f t="shared" si="44"/>
        <v>140929.75</v>
      </c>
      <c r="O125" s="197">
        <f>SUM(E125:N125)</f>
        <v>221014.875</v>
      </c>
      <c r="P125" s="209">
        <f>SUM(E125:N125)</f>
        <v>221014.875</v>
      </c>
      <c r="Q125" s="209">
        <f>SUM(O119:O122)</f>
        <v>327014.875</v>
      </c>
      <c r="R125" s="210"/>
      <c r="S125" s="168"/>
    </row>
    <row r="126" spans="1:19" ht="16.5" thickBot="1" x14ac:dyDescent="0.3">
      <c r="A126" s="242"/>
      <c r="B126" s="242"/>
      <c r="C126" s="242"/>
      <c r="D126" s="242"/>
      <c r="E126" s="242"/>
      <c r="F126" s="242"/>
      <c r="G126" s="242"/>
      <c r="H126" s="242"/>
      <c r="I126" s="299"/>
      <c r="J126" s="242"/>
      <c r="K126" s="242"/>
      <c r="L126" s="242"/>
      <c r="M126" s="242"/>
      <c r="N126" s="242"/>
      <c r="O126" s="242"/>
      <c r="P126" s="242"/>
      <c r="Q126" s="242"/>
      <c r="R126" s="242"/>
      <c r="S126" s="243"/>
    </row>
    <row r="127" spans="1:19" ht="15.75" thickBot="1" x14ac:dyDescent="0.3">
      <c r="A127" s="244"/>
      <c r="B127" s="245"/>
      <c r="C127" s="246"/>
      <c r="D127" s="246"/>
      <c r="E127" s="247"/>
      <c r="F127" s="246"/>
      <c r="G127" s="246"/>
      <c r="H127" s="248" t="s">
        <v>110</v>
      </c>
      <c r="I127" s="300"/>
      <c r="J127" s="246"/>
      <c r="K127" s="246"/>
      <c r="L127" s="246"/>
      <c r="M127" s="246"/>
      <c r="N127" s="246"/>
      <c r="O127" s="249"/>
      <c r="P127" s="168"/>
      <c r="Q127" s="168"/>
      <c r="R127" s="168"/>
      <c r="S127" s="168"/>
    </row>
    <row r="128" spans="1:19" x14ac:dyDescent="0.25">
      <c r="A128" s="250" t="s">
        <v>156</v>
      </c>
      <c r="B128" s="251"/>
      <c r="C128" s="252"/>
      <c r="D128" s="252"/>
      <c r="E128" s="216">
        <v>314107</v>
      </c>
      <c r="F128" s="216"/>
      <c r="G128" s="216">
        <v>347131</v>
      </c>
      <c r="H128" s="216">
        <v>110455</v>
      </c>
      <c r="I128" s="286">
        <v>377</v>
      </c>
      <c r="J128" s="216">
        <v>78976</v>
      </c>
      <c r="K128" s="216">
        <v>3250</v>
      </c>
      <c r="L128" s="216">
        <v>69979</v>
      </c>
      <c r="M128" s="216">
        <v>1144273</v>
      </c>
      <c r="N128" s="216">
        <v>310180</v>
      </c>
      <c r="O128" s="253">
        <f>SUM(E128:N128)</f>
        <v>2378728</v>
      </c>
      <c r="P128" s="168"/>
      <c r="Q128" s="168"/>
      <c r="R128" s="168"/>
      <c r="S128" s="168"/>
    </row>
    <row r="129" spans="1:19" x14ac:dyDescent="0.25">
      <c r="A129" s="254" t="s">
        <v>111</v>
      </c>
      <c r="B129" s="132"/>
      <c r="C129" s="136"/>
      <c r="D129" s="136"/>
      <c r="E129" s="216">
        <f>E125</f>
        <v>0</v>
      </c>
      <c r="F129" s="216">
        <f t="shared" ref="F129:N129" si="45">F125</f>
        <v>0</v>
      </c>
      <c r="G129" s="216">
        <f t="shared" si="45"/>
        <v>0</v>
      </c>
      <c r="H129" s="216">
        <f t="shared" si="45"/>
        <v>3292</v>
      </c>
      <c r="I129" s="286">
        <f t="shared" si="45"/>
        <v>977</v>
      </c>
      <c r="J129" s="216">
        <f t="shared" si="45"/>
        <v>1897</v>
      </c>
      <c r="K129" s="216">
        <f t="shared" si="45"/>
        <v>47</v>
      </c>
      <c r="L129" s="216">
        <f t="shared" si="45"/>
        <v>15670.825000000001</v>
      </c>
      <c r="M129" s="216">
        <f t="shared" si="45"/>
        <v>58201.299999999996</v>
      </c>
      <c r="N129" s="216">
        <f t="shared" si="45"/>
        <v>140929.75</v>
      </c>
      <c r="O129" s="255">
        <f>SUM(E129:N129)</f>
        <v>221014.875</v>
      </c>
      <c r="P129" s="168"/>
      <c r="Q129" s="168"/>
      <c r="R129" s="168"/>
      <c r="S129" s="168"/>
    </row>
    <row r="130" spans="1:19" x14ac:dyDescent="0.25">
      <c r="A130" s="56" t="s">
        <v>112</v>
      </c>
      <c r="B130" s="63">
        <v>60000</v>
      </c>
      <c r="C130" s="63"/>
      <c r="D130" s="137"/>
      <c r="E130" s="84">
        <f>E78</f>
        <v>942.32100000000003</v>
      </c>
      <c r="F130" s="84">
        <f t="shared" ref="F130:N130" si="46">F78</f>
        <v>0</v>
      </c>
      <c r="G130" s="84">
        <f t="shared" si="46"/>
        <v>1041.393</v>
      </c>
      <c r="H130" s="84">
        <f t="shared" si="46"/>
        <v>331.36500000000001</v>
      </c>
      <c r="I130" s="84">
        <f t="shared" si="46"/>
        <v>1.131</v>
      </c>
      <c r="J130" s="84">
        <f t="shared" si="46"/>
        <v>236.928</v>
      </c>
      <c r="K130" s="84">
        <f t="shared" si="46"/>
        <v>9.75</v>
      </c>
      <c r="L130" s="84">
        <f t="shared" si="46"/>
        <v>209.93700000000001</v>
      </c>
      <c r="M130" s="84">
        <f t="shared" si="46"/>
        <v>3432.819</v>
      </c>
      <c r="N130" s="84">
        <f t="shared" si="46"/>
        <v>930.54</v>
      </c>
      <c r="O130" s="256">
        <f t="shared" ref="O130:O137" si="47">SUM(E130:N130)</f>
        <v>7136.1839999999993</v>
      </c>
      <c r="P130" s="209"/>
      <c r="Q130" s="209"/>
      <c r="R130" s="210"/>
      <c r="S130" s="168"/>
    </row>
    <row r="131" spans="1:19" x14ac:dyDescent="0.25">
      <c r="A131" s="257"/>
      <c r="B131" s="84"/>
      <c r="C131" s="84"/>
      <c r="D131" s="222"/>
      <c r="E131" s="84"/>
      <c r="F131" s="84"/>
      <c r="G131" s="84"/>
      <c r="H131" s="84"/>
      <c r="I131" s="285"/>
      <c r="J131" s="84"/>
      <c r="K131" s="84"/>
      <c r="L131" s="84"/>
      <c r="M131" s="84"/>
      <c r="N131" s="84"/>
      <c r="O131" s="239">
        <f t="shared" si="47"/>
        <v>0</v>
      </c>
      <c r="P131" s="209"/>
      <c r="Q131" s="209"/>
      <c r="R131" s="210"/>
      <c r="S131" s="168"/>
    </row>
    <row r="132" spans="1:19" x14ac:dyDescent="0.25">
      <c r="A132" s="257"/>
      <c r="B132" s="84"/>
      <c r="C132" s="84"/>
      <c r="D132" s="222"/>
      <c r="E132" s="84"/>
      <c r="F132" s="84"/>
      <c r="G132" s="84"/>
      <c r="H132" s="84"/>
      <c r="I132" s="285"/>
      <c r="J132" s="84"/>
      <c r="K132" s="84"/>
      <c r="L132" s="84"/>
      <c r="M132" s="84"/>
      <c r="N132" s="84"/>
      <c r="O132" s="239">
        <f t="shared" si="47"/>
        <v>0</v>
      </c>
      <c r="P132" s="209"/>
      <c r="Q132" s="209"/>
      <c r="R132" s="210"/>
      <c r="S132" s="168"/>
    </row>
    <row r="133" spans="1:19" x14ac:dyDescent="0.25">
      <c r="A133" s="257"/>
      <c r="B133" s="84"/>
      <c r="C133" s="84"/>
      <c r="D133" s="222"/>
      <c r="E133" s="84"/>
      <c r="F133" s="84"/>
      <c r="G133" s="84"/>
      <c r="H133" s="84"/>
      <c r="I133" s="285"/>
      <c r="J133" s="84"/>
      <c r="K133" s="84"/>
      <c r="L133" s="84"/>
      <c r="M133" s="84"/>
      <c r="N133" s="84"/>
      <c r="O133" s="239">
        <f t="shared" si="47"/>
        <v>0</v>
      </c>
      <c r="P133" s="209"/>
      <c r="Q133" s="209"/>
      <c r="R133" s="210"/>
      <c r="S133" s="168"/>
    </row>
    <row r="134" spans="1:19" x14ac:dyDescent="0.25">
      <c r="A134" s="257"/>
      <c r="B134" s="84"/>
      <c r="C134" s="84"/>
      <c r="D134" s="222"/>
      <c r="E134" s="84"/>
      <c r="F134" s="84"/>
      <c r="G134" s="84"/>
      <c r="H134" s="84"/>
      <c r="I134" s="285"/>
      <c r="J134" s="84"/>
      <c r="K134" s="84"/>
      <c r="L134" s="84"/>
      <c r="M134" s="84"/>
      <c r="N134" s="84"/>
      <c r="O134" s="239">
        <f t="shared" si="47"/>
        <v>0</v>
      </c>
      <c r="P134" s="209"/>
      <c r="Q134" s="209"/>
      <c r="R134" s="210"/>
      <c r="S134" s="168"/>
    </row>
    <row r="135" spans="1:19" x14ac:dyDescent="0.25">
      <c r="A135" s="257"/>
      <c r="B135" s="84"/>
      <c r="C135" s="84"/>
      <c r="D135" s="222"/>
      <c r="E135" s="84"/>
      <c r="F135" s="84"/>
      <c r="G135" s="84"/>
      <c r="H135" s="84"/>
      <c r="I135" s="285"/>
      <c r="J135" s="84"/>
      <c r="K135" s="84"/>
      <c r="L135" s="84"/>
      <c r="M135" s="84"/>
      <c r="N135" s="84"/>
      <c r="O135" s="239">
        <f t="shared" si="47"/>
        <v>0</v>
      </c>
      <c r="P135" s="209"/>
      <c r="Q135" s="209"/>
      <c r="R135" s="210"/>
      <c r="S135" s="168"/>
    </row>
    <row r="136" spans="1:19" x14ac:dyDescent="0.25">
      <c r="A136" s="257"/>
      <c r="B136" s="84"/>
      <c r="C136" s="84"/>
      <c r="D136" s="222"/>
      <c r="E136" s="84"/>
      <c r="F136" s="84"/>
      <c r="G136" s="84"/>
      <c r="H136" s="84"/>
      <c r="I136" s="285"/>
      <c r="J136" s="84"/>
      <c r="K136" s="84"/>
      <c r="L136" s="84"/>
      <c r="M136" s="84"/>
      <c r="N136" s="84"/>
      <c r="O136" s="239">
        <f t="shared" si="47"/>
        <v>0</v>
      </c>
      <c r="P136" s="209"/>
      <c r="Q136" s="209"/>
      <c r="R136" s="210"/>
      <c r="S136" s="168"/>
    </row>
    <row r="137" spans="1:19" ht="15.75" thickBot="1" x14ac:dyDescent="0.3">
      <c r="A137" s="240" t="s">
        <v>113</v>
      </c>
      <c r="B137" s="44">
        <v>98747</v>
      </c>
      <c r="C137" s="44"/>
      <c r="D137" s="45"/>
      <c r="E137" s="258"/>
      <c r="F137" s="44">
        <v>0</v>
      </c>
      <c r="G137" s="44">
        <v>0</v>
      </c>
      <c r="H137" s="44">
        <v>0</v>
      </c>
      <c r="I137" s="293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241">
        <f t="shared" si="47"/>
        <v>0</v>
      </c>
      <c r="P137" s="209"/>
      <c r="Q137" s="209"/>
      <c r="R137" s="210"/>
      <c r="S137" s="168"/>
    </row>
    <row r="138" spans="1:19" ht="16.5" thickBot="1" x14ac:dyDescent="0.3">
      <c r="A138" s="259" t="s">
        <v>114</v>
      </c>
      <c r="B138" s="194" t="e">
        <f>#REF!+B130-B137</f>
        <v>#REF!</v>
      </c>
      <c r="C138" s="194" t="e">
        <f>#REF!+C130-C137</f>
        <v>#REF!</v>
      </c>
      <c r="D138" s="194" t="e">
        <f>#REF!+D130-D137</f>
        <v>#REF!</v>
      </c>
      <c r="E138" s="194">
        <f>SUM(E129:E137)</f>
        <v>942.32100000000003</v>
      </c>
      <c r="F138" s="194">
        <f t="shared" ref="F138:O138" si="48">SUM(F129:F137)</f>
        <v>0</v>
      </c>
      <c r="G138" s="194">
        <f t="shared" si="48"/>
        <v>1041.393</v>
      </c>
      <c r="H138" s="194">
        <f t="shared" si="48"/>
        <v>3623.3649999999998</v>
      </c>
      <c r="I138" s="301">
        <f t="shared" si="48"/>
        <v>978.13099999999997</v>
      </c>
      <c r="J138" s="194">
        <f t="shared" si="48"/>
        <v>2133.9279999999999</v>
      </c>
      <c r="K138" s="194">
        <f t="shared" si="48"/>
        <v>56.75</v>
      </c>
      <c r="L138" s="194">
        <f t="shared" si="48"/>
        <v>15880.762000000001</v>
      </c>
      <c r="M138" s="194">
        <f t="shared" si="48"/>
        <v>61634.118999999999</v>
      </c>
      <c r="N138" s="194">
        <f t="shared" si="48"/>
        <v>141860.29</v>
      </c>
      <c r="O138" s="194">
        <f t="shared" si="48"/>
        <v>228151.05900000001</v>
      </c>
      <c r="P138" s="154"/>
      <c r="Q138" s="154"/>
      <c r="R138" s="154"/>
      <c r="S138" s="168"/>
    </row>
    <row r="139" spans="1:19" ht="16.5" thickBot="1" x14ac:dyDescent="0.3">
      <c r="A139" s="260" t="s">
        <v>157</v>
      </c>
      <c r="B139" s="261"/>
      <c r="C139" s="261"/>
      <c r="D139" s="261"/>
      <c r="E139" s="261">
        <f t="shared" ref="E139:O139" si="49">E95+E138</f>
        <v>315049.321</v>
      </c>
      <c r="F139" s="261">
        <f t="shared" si="49"/>
        <v>0</v>
      </c>
      <c r="G139" s="261">
        <f t="shared" si="49"/>
        <v>348172.39299999998</v>
      </c>
      <c r="H139" s="261">
        <f t="shared" si="49"/>
        <v>114078.36500000001</v>
      </c>
      <c r="I139" s="302">
        <f t="shared" si="49"/>
        <v>1355.1309999999999</v>
      </c>
      <c r="J139" s="261">
        <f t="shared" si="49"/>
        <v>81109.928</v>
      </c>
      <c r="K139" s="261">
        <f t="shared" si="49"/>
        <v>3306.75</v>
      </c>
      <c r="L139" s="261">
        <f t="shared" si="49"/>
        <v>85859.762000000002</v>
      </c>
      <c r="M139" s="261">
        <f t="shared" si="49"/>
        <v>1205907.1189999999</v>
      </c>
      <c r="N139" s="261">
        <f t="shared" si="49"/>
        <v>452040.29000000004</v>
      </c>
      <c r="O139" s="262">
        <f t="shared" si="49"/>
        <v>2606879.0589999999</v>
      </c>
      <c r="P139" s="154">
        <f>SUM(E139:N139)</f>
        <v>2606879.0589999999</v>
      </c>
      <c r="Q139" s="154">
        <f>SUM(O128+O138)</f>
        <v>2606879.0589999999</v>
      </c>
      <c r="R139" s="154"/>
      <c r="S139" s="168"/>
    </row>
    <row r="140" spans="1:19" ht="16.5" thickBot="1" x14ac:dyDescent="0.3">
      <c r="A140" s="242"/>
      <c r="B140" s="191"/>
      <c r="C140" s="191"/>
      <c r="D140" s="191"/>
      <c r="E140" s="191"/>
      <c r="F140" s="191"/>
      <c r="G140" s="191"/>
      <c r="H140" s="191"/>
      <c r="I140" s="287"/>
      <c r="J140" s="191"/>
      <c r="K140" s="191"/>
      <c r="L140" s="191"/>
      <c r="M140" s="191"/>
      <c r="N140" s="191"/>
      <c r="O140" s="191"/>
      <c r="P140" s="191"/>
      <c r="Q140" s="191"/>
      <c r="R140" s="191"/>
      <c r="S140" s="192"/>
    </row>
    <row r="141" spans="1:19" ht="16.5" thickBot="1" x14ac:dyDescent="0.3">
      <c r="A141" s="263" t="s">
        <v>115</v>
      </c>
      <c r="B141" s="246"/>
      <c r="C141" s="246"/>
      <c r="D141" s="247"/>
      <c r="E141" s="246"/>
      <c r="F141" s="246"/>
      <c r="G141" s="246"/>
      <c r="H141" s="246"/>
      <c r="I141" s="300"/>
      <c r="J141" s="246"/>
      <c r="K141" s="246"/>
      <c r="L141" s="246"/>
      <c r="M141" s="246"/>
      <c r="N141" s="246"/>
      <c r="O141" s="249"/>
      <c r="P141" s="168"/>
      <c r="Q141" s="168"/>
      <c r="R141" s="168"/>
      <c r="S141" s="168"/>
    </row>
    <row r="142" spans="1:19" x14ac:dyDescent="0.25">
      <c r="A142" s="215" t="s">
        <v>116</v>
      </c>
      <c r="B142" s="252"/>
      <c r="C142" s="252"/>
      <c r="D142" s="264"/>
      <c r="E142" s="265">
        <v>381621</v>
      </c>
      <c r="F142" s="252"/>
      <c r="G142" s="252"/>
      <c r="H142" s="252"/>
      <c r="I142" s="303"/>
      <c r="J142" s="252"/>
      <c r="K142" s="252"/>
      <c r="L142" s="252"/>
      <c r="M142" s="252"/>
      <c r="N142" s="252"/>
      <c r="O142" s="253">
        <f>SUM(E142:N142)</f>
        <v>381621</v>
      </c>
      <c r="P142" s="168"/>
      <c r="Q142" s="168"/>
      <c r="R142" s="168"/>
      <c r="S142" s="168"/>
    </row>
    <row r="143" spans="1:19" x14ac:dyDescent="0.25">
      <c r="A143" s="56" t="s">
        <v>117</v>
      </c>
      <c r="B143" s="63">
        <v>98747</v>
      </c>
      <c r="C143" s="63"/>
      <c r="D143" s="137"/>
      <c r="E143" s="84">
        <v>106000</v>
      </c>
      <c r="F143" s="63">
        <v>0</v>
      </c>
      <c r="G143" s="63">
        <v>0</v>
      </c>
      <c r="H143" s="63">
        <v>0</v>
      </c>
      <c r="I143" s="285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256">
        <f>SUM(E143:N143)</f>
        <v>106000</v>
      </c>
      <c r="P143" s="209"/>
      <c r="Q143" s="209"/>
      <c r="R143" s="210"/>
      <c r="S143" s="168"/>
    </row>
    <row r="144" spans="1:19" x14ac:dyDescent="0.25">
      <c r="A144" s="56" t="s">
        <v>118</v>
      </c>
      <c r="B144" s="63">
        <v>5925</v>
      </c>
      <c r="C144" s="63"/>
      <c r="D144" s="137"/>
      <c r="E144" s="84">
        <v>14353</v>
      </c>
      <c r="F144" s="63">
        <v>0</v>
      </c>
      <c r="G144" s="63">
        <v>0</v>
      </c>
      <c r="H144" s="63">
        <v>0</v>
      </c>
      <c r="I144" s="285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256">
        <f t="shared" ref="O144:O145" si="50">SUM(E144:N144)</f>
        <v>14353</v>
      </c>
      <c r="P144" s="209"/>
      <c r="Q144" s="209"/>
      <c r="R144" s="210"/>
      <c r="S144" s="168"/>
    </row>
    <row r="145" spans="1:19" ht="15.75" thickBot="1" x14ac:dyDescent="0.3">
      <c r="A145" s="240" t="s">
        <v>119</v>
      </c>
      <c r="B145" s="44">
        <v>0</v>
      </c>
      <c r="C145" s="44"/>
      <c r="D145" s="45"/>
      <c r="E145" s="44">
        <v>0</v>
      </c>
      <c r="F145" s="44">
        <v>0</v>
      </c>
      <c r="G145" s="44">
        <v>0</v>
      </c>
      <c r="H145" s="44">
        <v>0</v>
      </c>
      <c r="I145" s="293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241">
        <f t="shared" si="50"/>
        <v>0</v>
      </c>
      <c r="P145" s="209"/>
      <c r="Q145" s="209"/>
      <c r="R145" s="210"/>
      <c r="S145" s="168"/>
    </row>
    <row r="146" spans="1:19" ht="16.5" thickBot="1" x14ac:dyDescent="0.3">
      <c r="A146" s="259" t="s">
        <v>120</v>
      </c>
      <c r="B146" s="194">
        <f>B143-B145+B144</f>
        <v>104672</v>
      </c>
      <c r="C146" s="194"/>
      <c r="D146" s="195"/>
      <c r="E146" s="194">
        <f t="shared" ref="E146:O146" si="51">E143-E145+E144</f>
        <v>120353</v>
      </c>
      <c r="F146" s="194">
        <f t="shared" si="51"/>
        <v>0</v>
      </c>
      <c r="G146" s="194">
        <f t="shared" si="51"/>
        <v>0</v>
      </c>
      <c r="H146" s="194">
        <f t="shared" si="51"/>
        <v>0</v>
      </c>
      <c r="I146" s="301">
        <f t="shared" si="51"/>
        <v>0</v>
      </c>
      <c r="J146" s="194">
        <f t="shared" si="51"/>
        <v>0</v>
      </c>
      <c r="K146" s="194">
        <f t="shared" si="51"/>
        <v>0</v>
      </c>
      <c r="L146" s="194">
        <f t="shared" si="51"/>
        <v>0</v>
      </c>
      <c r="M146" s="194">
        <f t="shared" si="51"/>
        <v>0</v>
      </c>
      <c r="N146" s="194">
        <f t="shared" si="51"/>
        <v>0</v>
      </c>
      <c r="O146" s="266">
        <f t="shared" si="51"/>
        <v>120353</v>
      </c>
      <c r="P146" s="154"/>
      <c r="Q146" s="154"/>
      <c r="R146" s="154"/>
      <c r="S146" s="168"/>
    </row>
    <row r="147" spans="1:19" ht="16.5" thickBot="1" x14ac:dyDescent="0.3">
      <c r="A147" s="259" t="s">
        <v>158</v>
      </c>
      <c r="B147" s="246"/>
      <c r="C147" s="246"/>
      <c r="D147" s="247"/>
      <c r="E147" s="194">
        <f>SUM(E142+E146)</f>
        <v>501974</v>
      </c>
      <c r="F147" s="194">
        <f t="shared" ref="F147:N147" si="52">F97+F146</f>
        <v>0</v>
      </c>
      <c r="G147" s="194">
        <f t="shared" si="52"/>
        <v>0</v>
      </c>
      <c r="H147" s="194">
        <f t="shared" si="52"/>
        <v>0</v>
      </c>
      <c r="I147" s="301">
        <f t="shared" si="52"/>
        <v>0</v>
      </c>
      <c r="J147" s="194">
        <f t="shared" si="52"/>
        <v>0</v>
      </c>
      <c r="K147" s="194">
        <f t="shared" si="52"/>
        <v>0</v>
      </c>
      <c r="L147" s="194">
        <f t="shared" si="52"/>
        <v>0</v>
      </c>
      <c r="M147" s="194">
        <f t="shared" si="52"/>
        <v>0</v>
      </c>
      <c r="N147" s="194">
        <f t="shared" si="52"/>
        <v>0</v>
      </c>
      <c r="O147" s="266">
        <f>O142+O146</f>
        <v>501974</v>
      </c>
      <c r="P147" s="154">
        <f>SUM(E147:N147)</f>
        <v>501974</v>
      </c>
      <c r="Q147" s="154"/>
      <c r="R147" s="168"/>
      <c r="S147" s="168"/>
    </row>
    <row r="148" spans="1:19" ht="16.5" thickBot="1" x14ac:dyDescent="0.3">
      <c r="A148" s="242"/>
      <c r="B148" s="192"/>
      <c r="C148" s="192"/>
      <c r="D148" s="267"/>
      <c r="E148" s="192"/>
      <c r="F148" s="192"/>
      <c r="G148" s="192"/>
      <c r="H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68"/>
    </row>
    <row r="149" spans="1:19" ht="16.5" thickBot="1" x14ac:dyDescent="0.3">
      <c r="A149" s="259" t="s">
        <v>159</v>
      </c>
      <c r="B149" s="196" t="e">
        <f>#REF!+B138+B146</f>
        <v>#REF!</v>
      </c>
      <c r="C149" s="196"/>
      <c r="D149" s="208"/>
      <c r="E149" s="196">
        <f>E105+E147+E139</f>
        <v>874123.64199999999</v>
      </c>
      <c r="F149" s="196">
        <f t="shared" ref="F149:O149" si="53">F105+F147+F139</f>
        <v>0</v>
      </c>
      <c r="G149" s="196">
        <f t="shared" si="53"/>
        <v>403495.47599999997</v>
      </c>
      <c r="H149" s="196">
        <f t="shared" si="53"/>
        <v>196343.12</v>
      </c>
      <c r="I149" s="292">
        <f t="shared" si="53"/>
        <v>568.26199999999983</v>
      </c>
      <c r="J149" s="196">
        <f t="shared" si="53"/>
        <v>98053.375999999989</v>
      </c>
      <c r="K149" s="196">
        <f t="shared" si="53"/>
        <v>4580.6299999999992</v>
      </c>
      <c r="L149" s="196">
        <f t="shared" si="53"/>
        <v>128438.03899999998</v>
      </c>
      <c r="M149" s="196">
        <f t="shared" si="53"/>
        <v>1351659.7080000001</v>
      </c>
      <c r="N149" s="196">
        <f t="shared" si="53"/>
        <v>845129.99</v>
      </c>
      <c r="O149" s="197">
        <f t="shared" si="53"/>
        <v>3902392.2429999998</v>
      </c>
      <c r="P149" s="268">
        <f>SUM(E149:N149)</f>
        <v>3902392.2429999998</v>
      </c>
      <c r="Q149" s="268"/>
      <c r="R149" s="269"/>
      <c r="S149" s="168"/>
    </row>
    <row r="150" spans="1:19" ht="16.5" thickBot="1" x14ac:dyDescent="0.3">
      <c r="A150" s="270" t="s">
        <v>141</v>
      </c>
      <c r="B150" s="271"/>
      <c r="C150" s="271"/>
      <c r="D150" s="272"/>
      <c r="E150" s="196">
        <f t="shared" ref="E150:O150" si="54">E149-E98</f>
        <v>214590.64199999999</v>
      </c>
      <c r="F150" s="196">
        <f t="shared" si="54"/>
        <v>0</v>
      </c>
      <c r="G150" s="196">
        <f t="shared" si="54"/>
        <v>-32638.524000000034</v>
      </c>
      <c r="H150" s="196">
        <f t="shared" si="54"/>
        <v>-18718.880000000005</v>
      </c>
      <c r="I150" s="292">
        <f t="shared" si="54"/>
        <v>206.26199999999983</v>
      </c>
      <c r="J150" s="196">
        <f t="shared" si="54"/>
        <v>-43920.624000000011</v>
      </c>
      <c r="K150" s="196">
        <f t="shared" si="54"/>
        <v>-5437.3700000000008</v>
      </c>
      <c r="L150" s="196">
        <f t="shared" si="54"/>
        <v>25496.038999999975</v>
      </c>
      <c r="M150" s="196">
        <f t="shared" si="54"/>
        <v>88326.708000000101</v>
      </c>
      <c r="N150" s="196">
        <f t="shared" si="54"/>
        <v>130868.98999999999</v>
      </c>
      <c r="O150" s="197">
        <f t="shared" si="54"/>
        <v>358773.24299999978</v>
      </c>
      <c r="P150" s="273">
        <f>SUM(E150:N150)</f>
        <v>358773.24300000002</v>
      </c>
      <c r="Q150" s="273"/>
      <c r="R150" s="274"/>
      <c r="S150" s="275"/>
    </row>
    <row r="151" spans="1:19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168"/>
      <c r="Q151" s="168"/>
      <c r="R151" s="168"/>
      <c r="S151" s="168"/>
    </row>
    <row r="152" spans="1:19" x14ac:dyDescent="0.25">
      <c r="I152" s="168"/>
    </row>
    <row r="153" spans="1:19" x14ac:dyDescent="0.25">
      <c r="I153" s="168"/>
    </row>
    <row r="154" spans="1:19" x14ac:dyDescent="0.25">
      <c r="I154" s="168"/>
    </row>
    <row r="155" spans="1:19" x14ac:dyDescent="0.25">
      <c r="I155" s="168"/>
    </row>
    <row r="156" spans="1:19" x14ac:dyDescent="0.25">
      <c r="I156" s="168"/>
    </row>
    <row r="157" spans="1:19" x14ac:dyDescent="0.25">
      <c r="I157" s="168"/>
    </row>
    <row r="158" spans="1:19" x14ac:dyDescent="0.25">
      <c r="I158" s="168"/>
    </row>
    <row r="159" spans="1:19" x14ac:dyDescent="0.25">
      <c r="I159" s="168"/>
    </row>
    <row r="160" spans="1:19" x14ac:dyDescent="0.25">
      <c r="I160" s="168"/>
    </row>
    <row r="161" spans="9:9" x14ac:dyDescent="0.25">
      <c r="I161" s="168"/>
    </row>
    <row r="162" spans="9:9" x14ac:dyDescent="0.25">
      <c r="I162" s="168"/>
    </row>
    <row r="163" spans="9:9" x14ac:dyDescent="0.25">
      <c r="I163" s="168"/>
    </row>
    <row r="164" spans="9:9" x14ac:dyDescent="0.25">
      <c r="I164" s="168"/>
    </row>
    <row r="165" spans="9:9" x14ac:dyDescent="0.25">
      <c r="I165" s="168"/>
    </row>
    <row r="166" spans="9:9" x14ac:dyDescent="0.25">
      <c r="I166" s="168"/>
    </row>
    <row r="167" spans="9:9" x14ac:dyDescent="0.25">
      <c r="I167" s="168"/>
    </row>
    <row r="168" spans="9:9" x14ac:dyDescent="0.25">
      <c r="I168" s="168"/>
    </row>
    <row r="169" spans="9:9" x14ac:dyDescent="0.25">
      <c r="I169" s="168"/>
    </row>
    <row r="170" spans="9:9" x14ac:dyDescent="0.25">
      <c r="I170" s="168"/>
    </row>
    <row r="171" spans="9:9" x14ac:dyDescent="0.25">
      <c r="I171" s="168"/>
    </row>
    <row r="172" spans="9:9" x14ac:dyDescent="0.25">
      <c r="I172" s="168"/>
    </row>
    <row r="173" spans="9:9" x14ac:dyDescent="0.25">
      <c r="I173" s="168"/>
    </row>
    <row r="174" spans="9:9" x14ac:dyDescent="0.25">
      <c r="I174" s="168"/>
    </row>
    <row r="175" spans="9:9" x14ac:dyDescent="0.25">
      <c r="I175" s="168"/>
    </row>
    <row r="176" spans="9:9" x14ac:dyDescent="0.25">
      <c r="I176" s="168"/>
    </row>
    <row r="177" spans="9:9" x14ac:dyDescent="0.25">
      <c r="I177" s="168"/>
    </row>
    <row r="178" spans="9:9" x14ac:dyDescent="0.25">
      <c r="I178" s="168"/>
    </row>
    <row r="179" spans="9:9" x14ac:dyDescent="0.25">
      <c r="I179" s="168"/>
    </row>
    <row r="180" spans="9:9" x14ac:dyDescent="0.25">
      <c r="I180" s="168"/>
    </row>
    <row r="181" spans="9:9" x14ac:dyDescent="0.25">
      <c r="I181" s="168"/>
    </row>
    <row r="182" spans="9:9" x14ac:dyDescent="0.25">
      <c r="I182" s="168"/>
    </row>
    <row r="183" spans="9:9" x14ac:dyDescent="0.25">
      <c r="I183" s="168"/>
    </row>
    <row r="184" spans="9:9" x14ac:dyDescent="0.25">
      <c r="I184" s="168"/>
    </row>
    <row r="185" spans="9:9" x14ac:dyDescent="0.25">
      <c r="I185" s="168"/>
    </row>
    <row r="186" spans="9:9" x14ac:dyDescent="0.25">
      <c r="I186" s="168"/>
    </row>
    <row r="187" spans="9:9" x14ac:dyDescent="0.25">
      <c r="I187" s="168"/>
    </row>
    <row r="188" spans="9:9" x14ac:dyDescent="0.25">
      <c r="I188" s="168"/>
    </row>
    <row r="189" spans="9:9" x14ac:dyDescent="0.25">
      <c r="I189" s="168"/>
    </row>
    <row r="190" spans="9:9" x14ac:dyDescent="0.25">
      <c r="I190" s="168"/>
    </row>
    <row r="191" spans="9:9" x14ac:dyDescent="0.25">
      <c r="I191" s="168"/>
    </row>
    <row r="192" spans="9:9" x14ac:dyDescent="0.25">
      <c r="I192" s="168"/>
    </row>
    <row r="193" spans="9:9" x14ac:dyDescent="0.25">
      <c r="I193" s="168"/>
    </row>
    <row r="194" spans="9:9" x14ac:dyDescent="0.25">
      <c r="I194" s="168"/>
    </row>
    <row r="195" spans="9:9" x14ac:dyDescent="0.25">
      <c r="I195" s="168"/>
    </row>
    <row r="196" spans="9:9" x14ac:dyDescent="0.25">
      <c r="I196" s="168"/>
    </row>
    <row r="197" spans="9:9" x14ac:dyDescent="0.25">
      <c r="I197" s="168"/>
    </row>
    <row r="198" spans="9:9" x14ac:dyDescent="0.25">
      <c r="I198" s="168"/>
    </row>
    <row r="199" spans="9:9" x14ac:dyDescent="0.25">
      <c r="I199" s="168"/>
    </row>
    <row r="200" spans="9:9" x14ac:dyDescent="0.25">
      <c r="I200" s="168"/>
    </row>
    <row r="201" spans="9:9" x14ac:dyDescent="0.25">
      <c r="I201" s="168"/>
    </row>
    <row r="202" spans="9:9" x14ac:dyDescent="0.25">
      <c r="I202" s="168"/>
    </row>
    <row r="203" spans="9:9" x14ac:dyDescent="0.25">
      <c r="I203" s="168"/>
    </row>
    <row r="204" spans="9:9" x14ac:dyDescent="0.25">
      <c r="I204" s="168"/>
    </row>
    <row r="205" spans="9:9" x14ac:dyDescent="0.25">
      <c r="I205" s="168"/>
    </row>
    <row r="206" spans="9:9" x14ac:dyDescent="0.25">
      <c r="I206" s="168"/>
    </row>
    <row r="207" spans="9:9" x14ac:dyDescent="0.25">
      <c r="I207" s="168"/>
    </row>
    <row r="208" spans="9:9" x14ac:dyDescent="0.25">
      <c r="I208" s="168"/>
    </row>
    <row r="209" spans="9:9" x14ac:dyDescent="0.25">
      <c r="I209" s="168"/>
    </row>
    <row r="210" spans="9:9" x14ac:dyDescent="0.25">
      <c r="I210" s="168"/>
    </row>
    <row r="211" spans="9:9" x14ac:dyDescent="0.25">
      <c r="I211" s="168"/>
    </row>
    <row r="212" spans="9:9" x14ac:dyDescent="0.25">
      <c r="I212" s="168"/>
    </row>
    <row r="213" spans="9:9" x14ac:dyDescent="0.25">
      <c r="I213" s="168"/>
    </row>
    <row r="214" spans="9:9" x14ac:dyDescent="0.25">
      <c r="I214" s="168"/>
    </row>
    <row r="215" spans="9:9" x14ac:dyDescent="0.25">
      <c r="I215" s="168"/>
    </row>
    <row r="216" spans="9:9" x14ac:dyDescent="0.25">
      <c r="I216" s="168"/>
    </row>
    <row r="217" spans="9:9" x14ac:dyDescent="0.25">
      <c r="I217" s="168"/>
    </row>
    <row r="218" spans="9:9" x14ac:dyDescent="0.25">
      <c r="I218" s="168"/>
    </row>
    <row r="219" spans="9:9" x14ac:dyDescent="0.25">
      <c r="I219" s="168"/>
    </row>
    <row r="220" spans="9:9" x14ac:dyDescent="0.25">
      <c r="I220" s="168"/>
    </row>
    <row r="221" spans="9:9" x14ac:dyDescent="0.25">
      <c r="I221" s="168"/>
    </row>
    <row r="222" spans="9:9" x14ac:dyDescent="0.25">
      <c r="I222" s="168"/>
    </row>
    <row r="223" spans="9:9" x14ac:dyDescent="0.25">
      <c r="I223" s="168"/>
    </row>
    <row r="224" spans="9:9" x14ac:dyDescent="0.25">
      <c r="I224" s="168"/>
    </row>
    <row r="225" spans="9:9" x14ac:dyDescent="0.25">
      <c r="I225" s="168"/>
    </row>
    <row r="226" spans="9:9" x14ac:dyDescent="0.25">
      <c r="I226" s="168"/>
    </row>
    <row r="227" spans="9:9" x14ac:dyDescent="0.25">
      <c r="I227" s="168"/>
    </row>
    <row r="228" spans="9:9" x14ac:dyDescent="0.25">
      <c r="I228" s="168"/>
    </row>
    <row r="229" spans="9:9" x14ac:dyDescent="0.25">
      <c r="I229" s="168"/>
    </row>
    <row r="230" spans="9:9" x14ac:dyDescent="0.25">
      <c r="I230" s="168"/>
    </row>
    <row r="231" spans="9:9" x14ac:dyDescent="0.25">
      <c r="I231" s="168"/>
    </row>
    <row r="232" spans="9:9" x14ac:dyDescent="0.25">
      <c r="I232" s="168"/>
    </row>
    <row r="233" spans="9:9" x14ac:dyDescent="0.25">
      <c r="I233" s="168"/>
    </row>
    <row r="234" spans="9:9" x14ac:dyDescent="0.25">
      <c r="I234" s="168"/>
    </row>
    <row r="235" spans="9:9" x14ac:dyDescent="0.25">
      <c r="I235" s="168"/>
    </row>
    <row r="236" spans="9:9" x14ac:dyDescent="0.25">
      <c r="I236" s="168"/>
    </row>
    <row r="237" spans="9:9" x14ac:dyDescent="0.25">
      <c r="I237" s="168"/>
    </row>
    <row r="238" spans="9:9" x14ac:dyDescent="0.25">
      <c r="I238" s="168"/>
    </row>
    <row r="239" spans="9:9" x14ac:dyDescent="0.25">
      <c r="I239" s="168"/>
    </row>
    <row r="240" spans="9:9" x14ac:dyDescent="0.25">
      <c r="I240" s="168"/>
    </row>
    <row r="241" spans="9:9" x14ac:dyDescent="0.25">
      <c r="I241" s="168"/>
    </row>
    <row r="242" spans="9:9" x14ac:dyDescent="0.25">
      <c r="I242" s="168"/>
    </row>
    <row r="243" spans="9:9" x14ac:dyDescent="0.25">
      <c r="I243" s="168"/>
    </row>
    <row r="244" spans="9:9" x14ac:dyDescent="0.25">
      <c r="I244" s="168"/>
    </row>
    <row r="245" spans="9:9" x14ac:dyDescent="0.25">
      <c r="I245" s="168"/>
    </row>
    <row r="246" spans="9:9" x14ac:dyDescent="0.25">
      <c r="I246" s="168"/>
    </row>
    <row r="247" spans="9:9" x14ac:dyDescent="0.25">
      <c r="I247" s="168"/>
    </row>
    <row r="248" spans="9:9" x14ac:dyDescent="0.25">
      <c r="I248" s="168"/>
    </row>
    <row r="249" spans="9:9" x14ac:dyDescent="0.25">
      <c r="I249" s="168"/>
    </row>
    <row r="250" spans="9:9" x14ac:dyDescent="0.25">
      <c r="I250" s="168"/>
    </row>
    <row r="251" spans="9:9" x14ac:dyDescent="0.25">
      <c r="I251" s="168"/>
    </row>
    <row r="252" spans="9:9" x14ac:dyDescent="0.25">
      <c r="I252" s="168"/>
    </row>
    <row r="253" spans="9:9" x14ac:dyDescent="0.25">
      <c r="I253" s="168"/>
    </row>
    <row r="254" spans="9:9" x14ac:dyDescent="0.25">
      <c r="I254" s="168"/>
    </row>
    <row r="255" spans="9:9" x14ac:dyDescent="0.25">
      <c r="I255" s="168"/>
    </row>
    <row r="256" spans="9:9" x14ac:dyDescent="0.25">
      <c r="I256" s="168"/>
    </row>
    <row r="257" spans="9:9" x14ac:dyDescent="0.25">
      <c r="I257" s="168"/>
    </row>
    <row r="258" spans="9:9" x14ac:dyDescent="0.25">
      <c r="I258" s="168"/>
    </row>
    <row r="259" spans="9:9" x14ac:dyDescent="0.25">
      <c r="I259" s="168"/>
    </row>
    <row r="260" spans="9:9" x14ac:dyDescent="0.25">
      <c r="I260" s="168"/>
    </row>
    <row r="261" spans="9:9" x14ac:dyDescent="0.25">
      <c r="I261" s="168"/>
    </row>
    <row r="262" spans="9:9" x14ac:dyDescent="0.25">
      <c r="I262" s="168"/>
    </row>
    <row r="263" spans="9:9" x14ac:dyDescent="0.25">
      <c r="I263" s="168"/>
    </row>
    <row r="264" spans="9:9" x14ac:dyDescent="0.25">
      <c r="I264" s="168"/>
    </row>
    <row r="265" spans="9:9" x14ac:dyDescent="0.25">
      <c r="I265" s="168"/>
    </row>
    <row r="266" spans="9:9" x14ac:dyDescent="0.25">
      <c r="I266" s="168"/>
    </row>
    <row r="267" spans="9:9" x14ac:dyDescent="0.25">
      <c r="I267" s="168"/>
    </row>
    <row r="268" spans="9:9" x14ac:dyDescent="0.25">
      <c r="I268" s="168"/>
    </row>
    <row r="269" spans="9:9" x14ac:dyDescent="0.25">
      <c r="I269" s="168"/>
    </row>
    <row r="270" spans="9:9" x14ac:dyDescent="0.25">
      <c r="I270" s="168"/>
    </row>
    <row r="271" spans="9:9" x14ac:dyDescent="0.25">
      <c r="I271" s="168"/>
    </row>
    <row r="272" spans="9:9" x14ac:dyDescent="0.25">
      <c r="I272" s="168"/>
    </row>
    <row r="273" spans="9:9" x14ac:dyDescent="0.25">
      <c r="I273" s="168"/>
    </row>
    <row r="274" spans="9:9" x14ac:dyDescent="0.25">
      <c r="I274" s="168"/>
    </row>
    <row r="275" spans="9:9" x14ac:dyDescent="0.25">
      <c r="I275" s="168"/>
    </row>
    <row r="276" spans="9:9" x14ac:dyDescent="0.25">
      <c r="I276" s="168"/>
    </row>
    <row r="277" spans="9:9" x14ac:dyDescent="0.25">
      <c r="I277" s="168"/>
    </row>
    <row r="278" spans="9:9" x14ac:dyDescent="0.25">
      <c r="I278" s="168"/>
    </row>
    <row r="279" spans="9:9" x14ac:dyDescent="0.25">
      <c r="I279" s="168"/>
    </row>
    <row r="280" spans="9:9" x14ac:dyDescent="0.25">
      <c r="I280" s="168"/>
    </row>
    <row r="281" spans="9:9" x14ac:dyDescent="0.25">
      <c r="I281" s="168"/>
    </row>
    <row r="282" spans="9:9" x14ac:dyDescent="0.25">
      <c r="I282" s="168"/>
    </row>
    <row r="283" spans="9:9" x14ac:dyDescent="0.25">
      <c r="I283" s="168"/>
    </row>
    <row r="284" spans="9:9" x14ac:dyDescent="0.25">
      <c r="I284" s="168"/>
    </row>
    <row r="285" spans="9:9" x14ac:dyDescent="0.25">
      <c r="I285" s="168"/>
    </row>
    <row r="286" spans="9:9" x14ac:dyDescent="0.25">
      <c r="I286" s="168"/>
    </row>
    <row r="287" spans="9:9" x14ac:dyDescent="0.25">
      <c r="I287" s="168"/>
    </row>
    <row r="288" spans="9:9" x14ac:dyDescent="0.25">
      <c r="I288" s="168"/>
    </row>
    <row r="289" spans="9:9" x14ac:dyDescent="0.25">
      <c r="I289" s="168"/>
    </row>
    <row r="290" spans="9:9" x14ac:dyDescent="0.25">
      <c r="I290" s="168"/>
    </row>
    <row r="291" spans="9:9" x14ac:dyDescent="0.25">
      <c r="I291" s="168"/>
    </row>
    <row r="292" spans="9:9" x14ac:dyDescent="0.25">
      <c r="I292" s="168"/>
    </row>
    <row r="293" spans="9:9" x14ac:dyDescent="0.25">
      <c r="I293" s="168"/>
    </row>
    <row r="294" spans="9:9" x14ac:dyDescent="0.25">
      <c r="I294" s="168"/>
    </row>
    <row r="295" spans="9:9" x14ac:dyDescent="0.25">
      <c r="I295" s="168"/>
    </row>
    <row r="296" spans="9:9" x14ac:dyDescent="0.25">
      <c r="I296" s="168"/>
    </row>
    <row r="297" spans="9:9" x14ac:dyDescent="0.25">
      <c r="I297" s="168"/>
    </row>
    <row r="298" spans="9:9" x14ac:dyDescent="0.25">
      <c r="I298" s="168"/>
    </row>
    <row r="299" spans="9:9" x14ac:dyDescent="0.25">
      <c r="I299" s="168"/>
    </row>
    <row r="300" spans="9:9" x14ac:dyDescent="0.25">
      <c r="I300" s="168"/>
    </row>
    <row r="301" spans="9:9" x14ac:dyDescent="0.25">
      <c r="I301" s="168"/>
    </row>
    <row r="302" spans="9:9" x14ac:dyDescent="0.25">
      <c r="I302" s="168"/>
    </row>
    <row r="303" spans="9:9" x14ac:dyDescent="0.25">
      <c r="I303" s="168"/>
    </row>
    <row r="304" spans="9:9" x14ac:dyDescent="0.25">
      <c r="I304" s="168"/>
    </row>
    <row r="305" spans="9:9" x14ac:dyDescent="0.25">
      <c r="I305" s="168"/>
    </row>
    <row r="306" spans="9:9" x14ac:dyDescent="0.25">
      <c r="I306" s="168"/>
    </row>
    <row r="307" spans="9:9" x14ac:dyDescent="0.25">
      <c r="I307" s="168"/>
    </row>
    <row r="308" spans="9:9" x14ac:dyDescent="0.25">
      <c r="I308" s="168"/>
    </row>
    <row r="309" spans="9:9" x14ac:dyDescent="0.25">
      <c r="I309" s="168"/>
    </row>
    <row r="310" spans="9:9" x14ac:dyDescent="0.25">
      <c r="I310" s="168"/>
    </row>
    <row r="311" spans="9:9" x14ac:dyDescent="0.25">
      <c r="I311" s="168"/>
    </row>
    <row r="312" spans="9:9" x14ac:dyDescent="0.25">
      <c r="I312" s="168"/>
    </row>
    <row r="313" spans="9:9" x14ac:dyDescent="0.25">
      <c r="I313" s="168"/>
    </row>
    <row r="314" spans="9:9" x14ac:dyDescent="0.25">
      <c r="I314" s="168"/>
    </row>
    <row r="315" spans="9:9" x14ac:dyDescent="0.25">
      <c r="I315" s="168"/>
    </row>
    <row r="316" spans="9:9" x14ac:dyDescent="0.25">
      <c r="I316" s="168"/>
    </row>
    <row r="317" spans="9:9" x14ac:dyDescent="0.25">
      <c r="I317" s="168"/>
    </row>
    <row r="318" spans="9:9" x14ac:dyDescent="0.25">
      <c r="I318" s="168"/>
    </row>
    <row r="319" spans="9:9" x14ac:dyDescent="0.25">
      <c r="I319" s="168"/>
    </row>
    <row r="320" spans="9:9" x14ac:dyDescent="0.25">
      <c r="I320" s="168"/>
    </row>
    <row r="321" spans="9:9" x14ac:dyDescent="0.25">
      <c r="I321" s="168"/>
    </row>
    <row r="322" spans="9:9" x14ac:dyDescent="0.25">
      <c r="I322" s="168"/>
    </row>
    <row r="323" spans="9:9" x14ac:dyDescent="0.25">
      <c r="I323" s="168"/>
    </row>
    <row r="324" spans="9:9" x14ac:dyDescent="0.25">
      <c r="I324" s="168"/>
    </row>
    <row r="325" spans="9:9" x14ac:dyDescent="0.25">
      <c r="I325" s="168"/>
    </row>
    <row r="326" spans="9:9" x14ac:dyDescent="0.25">
      <c r="I326" s="168"/>
    </row>
    <row r="327" spans="9:9" x14ac:dyDescent="0.25">
      <c r="I327" s="168"/>
    </row>
    <row r="328" spans="9:9" x14ac:dyDescent="0.25">
      <c r="I328" s="168"/>
    </row>
    <row r="329" spans="9:9" x14ac:dyDescent="0.25">
      <c r="I329" s="168"/>
    </row>
    <row r="330" spans="9:9" x14ac:dyDescent="0.25">
      <c r="I330" s="168"/>
    </row>
    <row r="331" spans="9:9" x14ac:dyDescent="0.25">
      <c r="I331" s="168"/>
    </row>
    <row r="332" spans="9:9" x14ac:dyDescent="0.25">
      <c r="I332" s="168"/>
    </row>
    <row r="333" spans="9:9" x14ac:dyDescent="0.25">
      <c r="I333" s="168"/>
    </row>
    <row r="334" spans="9:9" x14ac:dyDescent="0.25">
      <c r="I334" s="168"/>
    </row>
    <row r="335" spans="9:9" x14ac:dyDescent="0.25">
      <c r="I335" s="168"/>
    </row>
    <row r="336" spans="9:9" x14ac:dyDescent="0.25">
      <c r="I336" s="168"/>
    </row>
    <row r="337" spans="9:9" x14ac:dyDescent="0.25">
      <c r="I337" s="168"/>
    </row>
    <row r="338" spans="9:9" x14ac:dyDescent="0.25">
      <c r="I338" s="168"/>
    </row>
    <row r="339" spans="9:9" x14ac:dyDescent="0.25">
      <c r="I339" s="168"/>
    </row>
    <row r="340" spans="9:9" x14ac:dyDescent="0.25">
      <c r="I340" s="168"/>
    </row>
    <row r="341" spans="9:9" x14ac:dyDescent="0.25">
      <c r="I341" s="168"/>
    </row>
    <row r="342" spans="9:9" x14ac:dyDescent="0.25">
      <c r="I342" s="168"/>
    </row>
    <row r="343" spans="9:9" x14ac:dyDescent="0.25">
      <c r="I343" s="168"/>
    </row>
    <row r="344" spans="9:9" x14ac:dyDescent="0.25">
      <c r="I344" s="168"/>
    </row>
    <row r="345" spans="9:9" x14ac:dyDescent="0.25">
      <c r="I345" s="168"/>
    </row>
    <row r="346" spans="9:9" x14ac:dyDescent="0.25">
      <c r="I346" s="168"/>
    </row>
    <row r="347" spans="9:9" x14ac:dyDescent="0.25">
      <c r="I347" s="168"/>
    </row>
    <row r="348" spans="9:9" x14ac:dyDescent="0.25">
      <c r="I348" s="168"/>
    </row>
    <row r="349" spans="9:9" x14ac:dyDescent="0.25">
      <c r="I349" s="168"/>
    </row>
    <row r="350" spans="9:9" x14ac:dyDescent="0.25">
      <c r="I350" s="168"/>
    </row>
    <row r="351" spans="9:9" x14ac:dyDescent="0.25">
      <c r="I351" s="168"/>
    </row>
    <row r="352" spans="9:9" x14ac:dyDescent="0.25">
      <c r="I352" s="168"/>
    </row>
    <row r="353" spans="9:9" x14ac:dyDescent="0.25">
      <c r="I353" s="168"/>
    </row>
    <row r="354" spans="9:9" x14ac:dyDescent="0.25">
      <c r="I354" s="168"/>
    </row>
    <row r="355" spans="9:9" x14ac:dyDescent="0.25">
      <c r="I355" s="168"/>
    </row>
    <row r="356" spans="9:9" x14ac:dyDescent="0.25">
      <c r="I356" s="168"/>
    </row>
    <row r="357" spans="9:9" x14ac:dyDescent="0.25">
      <c r="I357" s="168"/>
    </row>
    <row r="358" spans="9:9" x14ac:dyDescent="0.25">
      <c r="I358" s="168"/>
    </row>
    <row r="359" spans="9:9" x14ac:dyDescent="0.25">
      <c r="I359" s="168"/>
    </row>
    <row r="360" spans="9:9" x14ac:dyDescent="0.25">
      <c r="I360" s="168"/>
    </row>
    <row r="361" spans="9:9" x14ac:dyDescent="0.25">
      <c r="I361" s="168"/>
    </row>
    <row r="362" spans="9:9" x14ac:dyDescent="0.25">
      <c r="I362" s="168"/>
    </row>
    <row r="363" spans="9:9" x14ac:dyDescent="0.25">
      <c r="I363" s="168"/>
    </row>
    <row r="364" spans="9:9" x14ac:dyDescent="0.25">
      <c r="I364" s="168"/>
    </row>
    <row r="365" spans="9:9" x14ac:dyDescent="0.25">
      <c r="I365" s="168"/>
    </row>
    <row r="366" spans="9:9" x14ac:dyDescent="0.25">
      <c r="I366" s="168"/>
    </row>
    <row r="367" spans="9:9" x14ac:dyDescent="0.25">
      <c r="I367" s="168"/>
    </row>
    <row r="368" spans="9:9" x14ac:dyDescent="0.25">
      <c r="I368" s="168"/>
    </row>
    <row r="369" spans="9:9" x14ac:dyDescent="0.25">
      <c r="I369" s="168"/>
    </row>
    <row r="370" spans="9:9" x14ac:dyDescent="0.25">
      <c r="I370" s="168"/>
    </row>
    <row r="371" spans="9:9" x14ac:dyDescent="0.25">
      <c r="I371" s="168"/>
    </row>
    <row r="372" spans="9:9" x14ac:dyDescent="0.25">
      <c r="I372" s="168"/>
    </row>
    <row r="373" spans="9:9" x14ac:dyDescent="0.25">
      <c r="I373" s="168"/>
    </row>
    <row r="374" spans="9:9" x14ac:dyDescent="0.25">
      <c r="I374" s="168"/>
    </row>
    <row r="375" spans="9:9" x14ac:dyDescent="0.25">
      <c r="I375" s="168"/>
    </row>
    <row r="376" spans="9:9" x14ac:dyDescent="0.25">
      <c r="I376" s="168"/>
    </row>
    <row r="377" spans="9:9" x14ac:dyDescent="0.25">
      <c r="I377" s="168"/>
    </row>
    <row r="378" spans="9:9" x14ac:dyDescent="0.25">
      <c r="I378" s="168"/>
    </row>
    <row r="379" spans="9:9" x14ac:dyDescent="0.25">
      <c r="I379" s="168"/>
    </row>
    <row r="380" spans="9:9" x14ac:dyDescent="0.25">
      <c r="I380" s="168"/>
    </row>
    <row r="381" spans="9:9" x14ac:dyDescent="0.25">
      <c r="I381" s="168"/>
    </row>
    <row r="382" spans="9:9" x14ac:dyDescent="0.25">
      <c r="I382" s="168"/>
    </row>
    <row r="383" spans="9:9" x14ac:dyDescent="0.25">
      <c r="I383" s="168"/>
    </row>
    <row r="384" spans="9:9" x14ac:dyDescent="0.25">
      <c r="I384" s="168"/>
    </row>
    <row r="385" spans="9:9" x14ac:dyDescent="0.25">
      <c r="I385" s="168"/>
    </row>
    <row r="386" spans="9:9" x14ac:dyDescent="0.25">
      <c r="I386" s="168"/>
    </row>
    <row r="387" spans="9:9" x14ac:dyDescent="0.25">
      <c r="I387" s="168"/>
    </row>
    <row r="388" spans="9:9" x14ac:dyDescent="0.25">
      <c r="I388" s="168"/>
    </row>
    <row r="389" spans="9:9" x14ac:dyDescent="0.25">
      <c r="I389" s="168"/>
    </row>
    <row r="390" spans="9:9" x14ac:dyDescent="0.25">
      <c r="I390" s="168"/>
    </row>
    <row r="391" spans="9:9" x14ac:dyDescent="0.25">
      <c r="I391" s="168"/>
    </row>
    <row r="392" spans="9:9" x14ac:dyDescent="0.25">
      <c r="I392" s="168"/>
    </row>
    <row r="393" spans="9:9" x14ac:dyDescent="0.25">
      <c r="I393" s="168"/>
    </row>
    <row r="394" spans="9:9" x14ac:dyDescent="0.25">
      <c r="I394" s="168"/>
    </row>
    <row r="395" spans="9:9" x14ac:dyDescent="0.25">
      <c r="I395" s="168"/>
    </row>
    <row r="396" spans="9:9" x14ac:dyDescent="0.25">
      <c r="I396" s="168"/>
    </row>
    <row r="397" spans="9:9" x14ac:dyDescent="0.25">
      <c r="I397" s="168"/>
    </row>
    <row r="398" spans="9:9" x14ac:dyDescent="0.25">
      <c r="I398" s="168"/>
    </row>
    <row r="399" spans="9:9" x14ac:dyDescent="0.25">
      <c r="I399" s="168"/>
    </row>
    <row r="400" spans="9:9" x14ac:dyDescent="0.25">
      <c r="I400" s="168"/>
    </row>
    <row r="401" spans="9:9" x14ac:dyDescent="0.25">
      <c r="I401" s="168"/>
    </row>
    <row r="402" spans="9:9" x14ac:dyDescent="0.25">
      <c r="I402" s="168"/>
    </row>
    <row r="403" spans="9:9" x14ac:dyDescent="0.25">
      <c r="I403" s="168"/>
    </row>
    <row r="404" spans="9:9" x14ac:dyDescent="0.25">
      <c r="I404" s="168"/>
    </row>
    <row r="405" spans="9:9" x14ac:dyDescent="0.25">
      <c r="I405" s="168"/>
    </row>
    <row r="406" spans="9:9" x14ac:dyDescent="0.25">
      <c r="I406" s="168"/>
    </row>
    <row r="407" spans="9:9" x14ac:dyDescent="0.25">
      <c r="I407" s="168"/>
    </row>
    <row r="408" spans="9:9" x14ac:dyDescent="0.25">
      <c r="I408" s="168"/>
    </row>
    <row r="409" spans="9:9" x14ac:dyDescent="0.25">
      <c r="I409" s="168"/>
    </row>
    <row r="410" spans="9:9" x14ac:dyDescent="0.25">
      <c r="I410" s="168"/>
    </row>
    <row r="411" spans="9:9" x14ac:dyDescent="0.25">
      <c r="I411" s="168"/>
    </row>
    <row r="412" spans="9:9" x14ac:dyDescent="0.25">
      <c r="I412" s="168"/>
    </row>
    <row r="413" spans="9:9" x14ac:dyDescent="0.25">
      <c r="I413" s="168"/>
    </row>
    <row r="414" spans="9:9" x14ac:dyDescent="0.25">
      <c r="I414" s="168"/>
    </row>
    <row r="415" spans="9:9" x14ac:dyDescent="0.25">
      <c r="I415" s="168"/>
    </row>
    <row r="416" spans="9:9" x14ac:dyDescent="0.25">
      <c r="I416" s="168"/>
    </row>
    <row r="417" spans="9:9" x14ac:dyDescent="0.25">
      <c r="I417" s="168"/>
    </row>
    <row r="418" spans="9:9" x14ac:dyDescent="0.25">
      <c r="I418" s="168"/>
    </row>
    <row r="419" spans="9:9" x14ac:dyDescent="0.25">
      <c r="I419" s="168"/>
    </row>
    <row r="420" spans="9:9" x14ac:dyDescent="0.25">
      <c r="I420" s="168"/>
    </row>
    <row r="421" spans="9:9" x14ac:dyDescent="0.25">
      <c r="I421" s="168"/>
    </row>
    <row r="422" spans="9:9" x14ac:dyDescent="0.25">
      <c r="I422" s="168"/>
    </row>
    <row r="423" spans="9:9" x14ac:dyDescent="0.25">
      <c r="I423" s="168"/>
    </row>
    <row r="424" spans="9:9" x14ac:dyDescent="0.25">
      <c r="I424" s="168"/>
    </row>
    <row r="425" spans="9:9" x14ac:dyDescent="0.25">
      <c r="I425" s="168"/>
    </row>
    <row r="426" spans="9:9" x14ac:dyDescent="0.25">
      <c r="I426" s="168"/>
    </row>
    <row r="427" spans="9:9" x14ac:dyDescent="0.25">
      <c r="I427" s="168"/>
    </row>
    <row r="428" spans="9:9" x14ac:dyDescent="0.25">
      <c r="I428" s="168"/>
    </row>
    <row r="429" spans="9:9" x14ac:dyDescent="0.25">
      <c r="I429" s="168"/>
    </row>
    <row r="430" spans="9:9" x14ac:dyDescent="0.25">
      <c r="I430" s="168"/>
    </row>
    <row r="431" spans="9:9" x14ac:dyDescent="0.25">
      <c r="I431" s="168"/>
    </row>
    <row r="432" spans="9:9" x14ac:dyDescent="0.25">
      <c r="I432" s="168"/>
    </row>
    <row r="433" spans="9:9" x14ac:dyDescent="0.25">
      <c r="I433" s="168"/>
    </row>
    <row r="434" spans="9:9" x14ac:dyDescent="0.25">
      <c r="I434" s="168"/>
    </row>
    <row r="435" spans="9:9" x14ac:dyDescent="0.25">
      <c r="I435" s="168"/>
    </row>
    <row r="436" spans="9:9" x14ac:dyDescent="0.25">
      <c r="I436" s="168"/>
    </row>
    <row r="437" spans="9:9" x14ac:dyDescent="0.25">
      <c r="I437" s="168"/>
    </row>
    <row r="438" spans="9:9" x14ac:dyDescent="0.25">
      <c r="I438" s="168"/>
    </row>
    <row r="439" spans="9:9" x14ac:dyDescent="0.25">
      <c r="I439" s="168"/>
    </row>
    <row r="440" spans="9:9" x14ac:dyDescent="0.25">
      <c r="I440" s="168"/>
    </row>
    <row r="441" spans="9:9" x14ac:dyDescent="0.25">
      <c r="I441" s="168"/>
    </row>
    <row r="442" spans="9:9" x14ac:dyDescent="0.25">
      <c r="I442" s="168"/>
    </row>
    <row r="443" spans="9:9" x14ac:dyDescent="0.25">
      <c r="I443" s="168"/>
    </row>
    <row r="444" spans="9:9" x14ac:dyDescent="0.25">
      <c r="I444" s="168"/>
    </row>
    <row r="445" spans="9:9" x14ac:dyDescent="0.25">
      <c r="I445" s="168"/>
    </row>
    <row r="446" spans="9:9" x14ac:dyDescent="0.25">
      <c r="I446" s="168"/>
    </row>
    <row r="447" spans="9:9" x14ac:dyDescent="0.25">
      <c r="I447" s="168"/>
    </row>
    <row r="448" spans="9:9" x14ac:dyDescent="0.25">
      <c r="I448" s="168"/>
    </row>
    <row r="449" spans="9:9" x14ac:dyDescent="0.25">
      <c r="I449" s="168"/>
    </row>
    <row r="450" spans="9:9" x14ac:dyDescent="0.25">
      <c r="I450" s="168"/>
    </row>
    <row r="451" spans="9:9" x14ac:dyDescent="0.25">
      <c r="I451" s="168"/>
    </row>
    <row r="452" spans="9:9" x14ac:dyDescent="0.25">
      <c r="I452" s="168"/>
    </row>
    <row r="453" spans="9:9" x14ac:dyDescent="0.25">
      <c r="I453" s="168"/>
    </row>
    <row r="454" spans="9:9" x14ac:dyDescent="0.25">
      <c r="I454" s="168"/>
    </row>
    <row r="455" spans="9:9" x14ac:dyDescent="0.25">
      <c r="I455" s="168"/>
    </row>
    <row r="456" spans="9:9" x14ac:dyDescent="0.25">
      <c r="I456" s="168"/>
    </row>
    <row r="457" spans="9:9" x14ac:dyDescent="0.25">
      <c r="I457" s="168"/>
    </row>
    <row r="458" spans="9:9" x14ac:dyDescent="0.25">
      <c r="I458" s="168"/>
    </row>
    <row r="459" spans="9:9" x14ac:dyDescent="0.25">
      <c r="I459" s="168"/>
    </row>
    <row r="460" spans="9:9" x14ac:dyDescent="0.25">
      <c r="I460" s="168"/>
    </row>
    <row r="461" spans="9:9" x14ac:dyDescent="0.25">
      <c r="I461" s="168"/>
    </row>
    <row r="462" spans="9:9" x14ac:dyDescent="0.25">
      <c r="I462" s="168"/>
    </row>
    <row r="463" spans="9:9" x14ac:dyDescent="0.25">
      <c r="I463" s="168"/>
    </row>
    <row r="464" spans="9:9" x14ac:dyDescent="0.25">
      <c r="I464" s="168"/>
    </row>
    <row r="465" spans="9:9" x14ac:dyDescent="0.25">
      <c r="I465" s="168"/>
    </row>
    <row r="466" spans="9:9" x14ac:dyDescent="0.25">
      <c r="I466" s="168"/>
    </row>
    <row r="467" spans="9:9" x14ac:dyDescent="0.25">
      <c r="I467" s="168"/>
    </row>
    <row r="468" spans="9:9" x14ac:dyDescent="0.25">
      <c r="I468" s="168"/>
    </row>
    <row r="469" spans="9:9" x14ac:dyDescent="0.25">
      <c r="I469" s="168"/>
    </row>
    <row r="470" spans="9:9" x14ac:dyDescent="0.25">
      <c r="I470" s="168"/>
    </row>
    <row r="471" spans="9:9" x14ac:dyDescent="0.25">
      <c r="I471" s="168"/>
    </row>
    <row r="472" spans="9:9" x14ac:dyDescent="0.25">
      <c r="I472" s="168"/>
    </row>
    <row r="473" spans="9:9" x14ac:dyDescent="0.25">
      <c r="I473" s="168"/>
    </row>
    <row r="474" spans="9:9" x14ac:dyDescent="0.25">
      <c r="I474" s="168"/>
    </row>
    <row r="475" spans="9:9" x14ac:dyDescent="0.25">
      <c r="I475" s="168"/>
    </row>
    <row r="476" spans="9:9" x14ac:dyDescent="0.25">
      <c r="I476" s="168"/>
    </row>
    <row r="477" spans="9:9" x14ac:dyDescent="0.25">
      <c r="I477" s="168"/>
    </row>
    <row r="478" spans="9:9" x14ac:dyDescent="0.25">
      <c r="I478" s="168"/>
    </row>
  </sheetData>
  <mergeCells count="3">
    <mergeCell ref="A2:O2"/>
    <mergeCell ref="A3:O3"/>
    <mergeCell ref="A4:O4"/>
  </mergeCells>
  <pageMargins left="0" right="0" top="0" bottom="0" header="0" footer="0"/>
  <pageSetup paperSize="5" scale="74" fitToHeight="0" orientation="landscape" r:id="rId1"/>
  <rowBreaks count="3" manualBreakCount="3">
    <brk id="41" max="16383" man="1"/>
    <brk id="91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Quinn</dc:creator>
  <cp:lastModifiedBy>Mike Quinn</cp:lastModifiedBy>
  <cp:lastPrinted>2021-08-16T19:44:11Z</cp:lastPrinted>
  <dcterms:created xsi:type="dcterms:W3CDTF">2020-11-06T15:59:30Z</dcterms:created>
  <dcterms:modified xsi:type="dcterms:W3CDTF">2021-08-16T23:09:27Z</dcterms:modified>
</cp:coreProperties>
</file>